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ableau de bord" state="visible" r:id="rId4"/>
    <sheet sheetId="2" name="Planning Gantt" state="visible" r:id="rId5"/>
    <sheet sheetId="3" name="Lots - phases" state="visible" r:id="rId6"/>
    <sheet sheetId="4" name="Budget chantier" state="visible" r:id="rId7"/>
    <sheet sheetId="5" name="Journal incidents" state="visible" r:id="rId8"/>
    <sheet sheetId="6" name="Synthese finale" state="visible" r:id="rId9"/>
  </sheets>
  <calcPr calcId="171027" fullCalcOnLoad="1"/>
</workbook>
</file>

<file path=xl/sharedStrings.xml><?xml version="1.0" encoding="utf-8"?>
<sst xmlns="http://schemas.openxmlformats.org/spreadsheetml/2006/main" count="236" uniqueCount="181">
  <si>
    <t>SiteKit | Tableau de bord de suivi de projet chantier</t>
  </si>
  <si>
    <t>Modele de demonstration .xlsx en francais pour PME BTP, conducteurs de travaux et chefs de chantier.</t>
  </si>
  <si>
    <t>Projet</t>
  </si>
  <si>
    <t>Résidence Horizon | Gros oeuvre &amp; second oeuvre</t>
  </si>
  <si>
    <t>Client</t>
  </si>
  <si>
    <t>Promobat Développement</t>
  </si>
  <si>
    <t>Responsable</t>
  </si>
  <si>
    <t>Camille Martin</t>
  </si>
  <si>
    <t>Lieu</t>
  </si>
  <si>
    <t>Lyon 7e</t>
  </si>
  <si>
    <t>Date rapport</t>
  </si>
  <si>
    <t>Budget initial</t>
  </si>
  <si>
    <t>Avancement global</t>
  </si>
  <si>
    <t>Budget consomme</t>
  </si>
  <si>
    <t>Incidents ouverts</t>
  </si>
  <si>
    <t>Ecart budget</t>
  </si>
  <si>
    <t>Lots termines</t>
  </si>
  <si>
    <t>Lots en alerte</t>
  </si>
  <si>
    <t>Date fin cible</t>
  </si>
  <si>
    <t>Retard cumule</t>
  </si>
  <si>
    <t>Lecture direction: suivre en priorite la couverture, lever les blocages d'approvisionnement acier et garder la reserve d'aleas sous controle.</t>
  </si>
  <si>
    <t>Legende: ● situation saine | ▲ vigilance budget/planning | ■ point bloquant a traiter en reunion hebdo.</t>
  </si>
  <si>
    <t>Vue budget</t>
  </si>
  <si>
    <t>Points bloquants prioritaires</t>
  </si>
  <si>
    <t>Budget prevu</t>
  </si>
  <si>
    <t>Couverture</t>
  </si>
  <si>
    <t>Retard probable de l'acier si fournisseur non securise avant le 24/04.</t>
  </si>
  <si>
    <t>Engage</t>
  </si>
  <si>
    <t>Zone grutage</t>
  </si>
  <si>
    <t>Arbitrage planning VRD / charpente a faire en reunion hebdo.</t>
  </si>
  <si>
    <t>Realise</t>
  </si>
  <si>
    <t>Plans EXE</t>
  </si>
  <si>
    <t>Visa escalier a relancer pour proteger les approvisionnements.</t>
  </si>
  <si>
    <t>Reste a depenser</t>
  </si>
  <si>
    <t>Menuiseries</t>
  </si>
  <si>
    <t>Acompte et validation client a verrouiller avant lancement fabrication.</t>
  </si>
  <si>
    <t>Postes en depassement</t>
  </si>
  <si>
    <t>Planning Gantt des taches</t>
  </si>
  <si>
    <t>Vue hebdomadaire du planning prevu avec barettes automatiques en fonction des dates et du % d'avancement.</t>
  </si>
  <si>
    <t>Code</t>
  </si>
  <si>
    <t>Tache / lot</t>
  </si>
  <si>
    <t>Debut</t>
  </si>
  <si>
    <t>Fin</t>
  </si>
  <si>
    <t>Statut</t>
  </si>
  <si>
    <t>% avancement</t>
  </si>
  <si>
    <t>Duree</t>
  </si>
  <si>
    <t>Lecture Gantt: vert = part realisee, orange = charge restante planifiee, liseres sur la semaine en cours.</t>
  </si>
  <si>
    <t>Lots / phases de chantier</t>
  </si>
  <si>
    <t>Suivi prevu vs reel par lot avec responsable, planning, statut, avancement et alerte retard.</t>
  </si>
  <si>
    <t>Debut chantier</t>
  </si>
  <si>
    <t>Fin cible</t>
  </si>
  <si>
    <t>Budget cible</t>
  </si>
  <si>
    <t>Lots suivis</t>
  </si>
  <si>
    <t>Lot / phase</t>
  </si>
  <si>
    <t>Debut prevu</t>
  </si>
  <si>
    <t>Fin prevue</t>
  </si>
  <si>
    <t>Debut reel</t>
  </si>
  <si>
    <t>Fin reelle</t>
  </si>
  <si>
    <t>Jours prevus</t>
  </si>
  <si>
    <t>Jours restants</t>
  </si>
  <si>
    <t>Ecart j</t>
  </si>
  <si>
    <t>Commentaire</t>
  </si>
  <si>
    <t>LOT-01</t>
  </si>
  <si>
    <t>Installation de chantier</t>
  </si>
  <si>
    <t>B. Lopez</t>
  </si>
  <si>
    <t>Termine</t>
  </si>
  <si>
    <t>Base vie, clotures et branchements provisoires receptionnes.</t>
  </si>
  <si>
    <t>LOT-02</t>
  </si>
  <si>
    <t>Terrassement et plateformes</t>
  </si>
  <si>
    <t>J. Garcia</t>
  </si>
  <si>
    <t>Rattrapage final sur acces engins realise avec 1 jour d'ecart.</t>
  </si>
  <si>
    <t>LOT-03</t>
  </si>
  <si>
    <t>Fondations et voiles enterrés</t>
  </si>
  <si>
    <t>A. Morel</t>
  </si>
  <si>
    <t>Cadence beton conforme, aucune reserve structure.</t>
  </si>
  <si>
    <t>LOT-04</t>
  </si>
  <si>
    <t>Elevation RDC</t>
  </si>
  <si>
    <t>M. Ferhat</t>
  </si>
  <si>
    <t>Phase achevee avec leger decalage lie au ferraillage.</t>
  </si>
  <si>
    <t>LOT-05</t>
  </si>
  <si>
    <t>Elevation R+1</t>
  </si>
  <si>
    <t>En cours</t>
  </si>
  <si>
    <t>Dernier voile et dalle en cours de coulage.</t>
  </si>
  <si>
    <t>LOT-06</t>
  </si>
  <si>
    <t>Charpente et couverture</t>
  </si>
  <si>
    <t>S. Perrin</t>
  </si>
  <si>
    <t>En alerte</t>
  </si>
  <si>
    <t>Risque sur fourniture acier et coordination levage.</t>
  </si>
  <si>
    <t>LOT-07</t>
  </si>
  <si>
    <t>Menuiseries exterieures</t>
  </si>
  <si>
    <t>L. Chevrier</t>
  </si>
  <si>
    <t>A lancer</t>
  </si>
  <si>
    <t>Validation des plans d'execution en attente client.</t>
  </si>
  <si>
    <t>LOT-08</t>
  </si>
  <si>
    <t>Cloisons, reseaux et finitions</t>
  </si>
  <si>
    <t>N. Roussel</t>
  </si>
  <si>
    <t>Phases dependantes de la mise hors d'eau / hors d'air.</t>
  </si>
  <si>
    <t>Budget chantier</t>
  </si>
  <si>
    <t>Comparatif budget prevu vs engage vs realise, avec statut automatique par poste.</t>
  </si>
  <si>
    <t>Budget realise</t>
  </si>
  <si>
    <t>Depassements</t>
  </si>
  <si>
    <t>Poste de cout</t>
  </si>
  <si>
    <t>Ecart</t>
  </si>
  <si>
    <t>Consommation</t>
  </si>
  <si>
    <t>Reste</t>
  </si>
  <si>
    <t>Budget tenu grace a la location materiel optimise.</t>
  </si>
  <si>
    <t>Terrassement</t>
  </si>
  <si>
    <t>Surcout evacuation deblais non prevus.</t>
  </si>
  <si>
    <t>Fondations</t>
  </si>
  <si>
    <t>Consommation beton conforme a l'estimatif.</t>
  </si>
  <si>
    <t>Gros oeuvre vertical</t>
  </si>
  <si>
    <t>Ligne structurante du chantier, encore dans la cible.</t>
  </si>
  <si>
    <t>Charpente / couverture</t>
  </si>
  <si>
    <t>Montant engage en hausse avant pose complete.</t>
  </si>
  <si>
    <t>Acompte non encore facture au 21/04/2026.</t>
  </si>
  <si>
    <t>Lots techniques &amp; finitions</t>
  </si>
  <si>
    <t>Premiers appros CVC / CFO-CFA lancés.</t>
  </si>
  <si>
    <t>Reserve aleas</t>
  </si>
  <si>
    <t>Direction travaux</t>
  </si>
  <si>
    <t>Reserve mobilisee pour etudes complementaires.</t>
  </si>
  <si>
    <t>TOTAL</t>
  </si>
  <si>
    <t/>
  </si>
  <si>
    <t>Synthese</t>
  </si>
  <si>
    <t>Lecture budget globale du chantier.</t>
  </si>
  <si>
    <t>Journal des incidents / points bloquants</t>
  </si>
  <si>
    <t>Outil de pilotage hebdomadaire pour suivre les blocages, responsables, echeances et niveau d'impact.</t>
  </si>
  <si>
    <t>Incidents clos</t>
  </si>
  <si>
    <t>Impact critique</t>
  </si>
  <si>
    <t>ID</t>
  </si>
  <si>
    <t>Date ouverture</t>
  </si>
  <si>
    <t>Categorie</t>
  </si>
  <si>
    <t>Description</t>
  </si>
  <si>
    <t>Impact</t>
  </si>
  <si>
    <t>Echeance</t>
  </si>
  <si>
    <t>Action corrective</t>
  </si>
  <si>
    <t>Date cloture</t>
  </si>
  <si>
    <t>Jours ouverts</t>
  </si>
  <si>
    <t>INC-001</t>
  </si>
  <si>
    <t>Approvisionnement</t>
  </si>
  <si>
    <t>Risque de retard sur la livraison des poutres acier de rive.</t>
  </si>
  <si>
    <t>Critique</t>
  </si>
  <si>
    <t>Ouvert</t>
  </si>
  <si>
    <t>Confirmer plan B fournisseur et arbitrage transport express.</t>
  </si>
  <si>
    <t>INC-002</t>
  </si>
  <si>
    <t>Coordination</t>
  </si>
  <si>
    <t>Conflit d'occupation de la zone de grutage avec le lot VRD.</t>
  </si>
  <si>
    <t>Eleve</t>
  </si>
  <si>
    <t>Replanifier les rotations et verrouiller un plan de circulation.</t>
  </si>
  <si>
    <t>INC-003</t>
  </si>
  <si>
    <t>Etudes</t>
  </si>
  <si>
    <t>Plan EXE escalier principal incomplet cote client.</t>
  </si>
  <si>
    <t>Moyen</t>
  </si>
  <si>
    <t>Bureau methodes</t>
  </si>
  <si>
    <t>Relance MOE + blocage de commande ferrage tant que le visa manque.</t>
  </si>
  <si>
    <t>INC-004</t>
  </si>
  <si>
    <t>Ressources</t>
  </si>
  <si>
    <t>Absence du chef d'equipe coffrage pendant 3 jours.</t>
  </si>
  <si>
    <t>Faible</t>
  </si>
  <si>
    <t>Clos</t>
  </si>
  <si>
    <t>Renfort interne positionne et replanification validee.</t>
  </si>
  <si>
    <t>INC-005</t>
  </si>
  <si>
    <t>QSE</t>
  </si>
  <si>
    <t>Reserve securite sur stockage temporaire des aciers.</t>
  </si>
  <si>
    <t>Responsable QSE</t>
  </si>
  <si>
    <t>Zone rebalisée et sensibilisation equipe realisee.</t>
  </si>
  <si>
    <t>Synthese finale chantier</t>
  </si>
  <si>
    <t>Page de restitution pour comite de pilotage, revue client ou passation interne.</t>
  </si>
  <si>
    <t>Resume executif</t>
  </si>
  <si>
    <t>Decision / arbitrages proposes</t>
  </si>
  <si>
    <t>1. Securiser le fournisseur acier avant le 24/04/2026.</t>
  </si>
  <si>
    <t>2. Valider le plan de circulation grue / VRD avant la revue planning du vendredi.</t>
  </si>
  <si>
    <t>3. Obtenir le visa escalier pour ne pas retarder les menuiseries exterieures.</t>
  </si>
  <si>
    <t>4. Preserver la reserve d'aleas pour la phase finitions.</t>
  </si>
  <si>
    <t>Synthese client / direction</t>
  </si>
  <si>
    <t>Le chantier reste globalement sous controle avec une avance structure deja solide. La vigilance principale porte sur la charpente / couverture, dont le risque d'approvisionnement pourrait deplacer plusieurs phases en cascade. Le budget demeure pilotable, mais le depassement du terrassement et l'engagement rapide des prochains lots imposent un suivi hebdomadaire rigoureux.</t>
  </si>
  <si>
    <t>Synthese planning</t>
  </si>
  <si>
    <t>Synthese budget</t>
  </si>
  <si>
    <t>Lots en cours</t>
  </si>
  <si>
    <t>Lots a lancer</t>
  </si>
  <si>
    <t>Postes critiques</t>
  </si>
  <si>
    <t>Conseil d'usage SiteKit: dupliquer ce modele par chantier, conserver les memes codes statut et mettre a jour le tableau de bord avant chaque reunion hebdomadaire.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</si>
</sst>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"/>
    <numFmt numFmtId="165" formatCode="#,##0 &quot;€&quot;"/>
    <numFmt numFmtId="166" formatCode="0 &quot;j&quot;"/>
    <numFmt numFmtId="167" formatCode="dd/mm"/>
  </numFmts>
  <fonts count="12" x14ac:knownFonts="1">
    <font>
      <color theme="1"/>
      <family val="2"/>
      <scheme val="minor"/>
      <sz val="11"/>
      <name val="Calibri"/>
    </font>
    <font>
      <b/>
      <color rgb="FFF7F4EC"/>
      <sz val="20"/>
    </font>
    <font>
      <color rgb="FF31404A"/>
      <sz val="10"/>
    </font>
    <font>
      <b/>
      <color rgb="FF31404A"/>
    </font>
    <font>
      <color rgb="FF0F1418"/>
      <sz val="10"/>
      <name val="Aptos"/>
    </font>
    <font>
      <b/>
      <color rgb="FF31404A"/>
      <sz val="10"/>
    </font>
    <font>
      <b/>
      <color rgb="FF0F1418"/>
      <sz val="22"/>
    </font>
    <font>
      <i/>
      <color rgb="FF31404A"/>
    </font>
    <font>
      <color rgb="FF0F1418"/>
    </font>
    <font>
      <b/>
      <color rgb="FFFFFFFF"/>
    </font>
    <font>
      <b/>
      <color rgb="FF0F1418"/>
    </font>
    <font>
      <b/>
      <color rgb="FFFFFFFF"/>
      <sz val="9"/>
    </font>
  </fonts>
  <fills count="12">
    <fill>
      <patternFill patternType="none"/>
    </fill>
    <fill>
      <patternFill patternType="gray125"/>
    </fill>
    <fill>
      <patternFill patternType="solid">
        <fgColor rgb="FF0F1418"/>
      </patternFill>
    </fill>
    <fill>
      <patternFill patternType="solid">
        <fgColor rgb="FFD9E1E7"/>
      </patternFill>
    </fill>
    <fill>
      <patternFill patternType="solid">
        <fgColor rgb="FFF2EEE5"/>
      </patternFill>
    </fill>
    <fill>
      <patternFill patternType="solid">
        <fgColor rgb="FFFFFFFF"/>
      </patternFill>
    </fill>
    <fill>
      <patternFill patternType="solid">
        <fgColor rgb="FFFFE1CF"/>
      </patternFill>
    </fill>
    <fill>
      <patternFill patternType="solid">
        <fgColor rgb="FFDCEBF5"/>
      </patternFill>
    </fill>
    <fill>
      <patternFill patternType="solid">
        <fgColor rgb="FFFBE0DC"/>
      </patternFill>
    </fill>
    <fill>
      <patternFill patternType="solid">
        <fgColor rgb="FFE6F5ED"/>
      </patternFill>
    </fill>
    <fill>
      <patternFill patternType="solid">
        <fgColor rgb="FFFEF1CC"/>
      </patternFill>
    </fill>
    <fill>
      <patternFill patternType="solid">
        <fgColor rgb="FF31404A"/>
      </patternFill>
    </fill>
  </fills>
  <borders count="2">
    <border>
      <left/>
      <right/>
      <top/>
      <bottom/>
      <diagonal/>
    </border>
    <border>
      <left style="thin">
        <color rgb="FFC7D0D7"/>
      </left>
      <right style="thin">
        <color rgb="FFC7D0D7"/>
      </right>
      <top style="thin">
        <color rgb="FFC7D0D7"/>
      </top>
      <bottom style="thin">
        <color rgb="FFC7D0D7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4" borderId="1" xfId="0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0" fontId="5" fillId="4" borderId="1" xfId="0" applyFont="1" applyFill="1" applyBorder="1" applyAlignment="1">
      <alignment horizontal="left" vertical="center"/>
    </xf>
    <xf numFmtId="9" fontId="6" fillId="6" borderId="1" xfId="0" applyNumberFormat="1" applyFont="1" applyFill="1" applyBorder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6" fillId="10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6" fontId="6" fillId="6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11" borderId="1" xfId="0" applyFont="1" applyFill="1" applyBorder="1"/>
    <xf numFmtId="0" fontId="10" fillId="6" borderId="1" xfId="0" applyFont="1" applyFill="1" applyBorder="1"/>
    <xf numFmtId="0" fontId="4" fillId="5" borderId="1" xfId="0" applyFont="1" applyFill="1" applyBorder="1" applyAlignment="1">
      <alignment vertical="center" wrapText="1"/>
    </xf>
    <xf numFmtId="1" fontId="4" fillId="5" borderId="1" xfId="0" applyNumberFormat="1" applyFont="1" applyFill="1" applyBorder="1"/>
    <xf numFmtId="0" fontId="9" fillId="11" borderId="0" xfId="0" applyFont="1" applyFill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167" fontId="11" fillId="11" borderId="1" xfId="0" applyNumberFormat="1" applyFont="1" applyFill="1" applyBorder="1" applyAlignment="1">
      <alignment horizontal="center" vertical="center"/>
    </xf>
    <xf numFmtId="167" fontId="1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4" fontId="0" fillId="0" borderId="0" xfId="0" applyNumberFormat="1"/>
    <xf numFmtId="165" fontId="4" fillId="0" borderId="1" xfId="0" applyNumberFormat="1" applyFont="1" applyBorder="1" applyAlignment="1">
      <alignment horizontal="left" vertical="center" wrapText="1"/>
    </xf>
    <xf numFmtId="0" fontId="10" fillId="4" borderId="0" xfId="0" applyFont="1" applyFill="1"/>
    <xf numFmtId="0" fontId="10" fillId="4" borderId="1" xfId="0" applyFont="1" applyFill="1" applyBorder="1" applyAlignment="1">
      <alignment horizontal="left" vertical="center" wrapText="1"/>
    </xf>
    <xf numFmtId="165" fontId="10" fillId="4" borderId="1" xfId="0" applyNumberFormat="1" applyFont="1" applyFill="1" applyBorder="1" applyAlignment="1">
      <alignment horizontal="left" vertical="center" wrapText="1"/>
    </xf>
    <xf numFmtId="9" fontId="10" fillId="4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/>
    <xf numFmtId="0" fontId="4" fillId="4" borderId="1" xfId="0" applyFont="1" applyFill="1" applyBorder="1" applyAlignment="1">
      <alignment vertical="center" wrapText="1"/>
    </xf>
    <xf numFmtId="9" fontId="4" fillId="5" borderId="1" xfId="0" applyNumberFormat="1" applyFont="1" applyFill="1" applyBorder="1"/>
    <xf numFmtId="0" fontId="4" fillId="3" borderId="1" xfId="0" applyFont="1" applyFill="1" applyBorder="1" applyAlignment="1">
      <alignment vertical="center" wrapText="1"/>
    </xf>
    <xf numFmtId="166" fontId="4" fillId="5" borderId="1" xfId="0" applyNumberFormat="1" applyFont="1" applyFill="1" applyBorder="1"/>
    <xf numFmtId="0" fontId="10" fillId="6" borderId="1" xfId="0" applyFont="1" applyFill="1" applyBorder="1" applyAlignment="1">
      <alignment vertical="center" wrapText="1"/>
    </xf>
  </cellXfs>
  <cellStyles count="1">
    <cellStyle name="Normal" xfId="0" builtinId="0"/>
  </cellStyles>
  <dxfs count="31">
    <dxf>
      <font>
        <b/>
        <color rgb="FF1F8A5B"/>
      </font>
      <fill>
        <patternFill patternType="solid">
          <fgColor rgb="FFE6F5ED"/>
        </patternFill>
      </fill>
    </dxf>
    <dxf>
      <font>
        <b/>
        <color rgb="FF24577A"/>
      </font>
      <fill>
        <patternFill patternType="solid">
          <fgColor rgb="FFDCEBF5"/>
        </patternFill>
      </fill>
    </dxf>
    <dxf>
      <font>
        <b/>
        <color rgb="FFF97316"/>
      </font>
      <fill>
        <patternFill patternType="solid">
          <fgColor rgb="FFFEF1CC"/>
        </patternFill>
      </fill>
    </dxf>
    <dxf>
      <font>
        <b/>
        <color rgb="FFC94737"/>
      </font>
      <fill>
        <patternFill patternType="solid">
          <fgColor rgb="FFFBE0DC"/>
        </patternFill>
      </fill>
    </dxf>
    <dxf>
      <font>
        <i/>
        <color rgb="FF31404A"/>
      </font>
      <fill>
        <patternFill patternType="solid">
          <fgColor rgb="FFF2EEE5"/>
        </patternFill>
      </fill>
    </dxf>
    <dxf>
      <font>
        <b/>
        <color rgb="FF1F8A5B"/>
      </font>
      <fill>
        <patternFill patternType="solid">
          <fgColor rgb="FFE6F5ED"/>
        </patternFill>
      </fill>
    </dxf>
    <dxf>
      <fill>
        <patternFill patternType="solid">
          <fgColor rgb="FF1F8A5B"/>
        </patternFill>
      </fill>
    </dxf>
    <dxf>
      <fill>
        <patternFill patternType="solid">
          <fgColor rgb="FFF97316"/>
        </patternFill>
      </fill>
    </dxf>
    <dxf>
      <border>
        <left style="thin">
          <color rgb="FF0F1418"/>
        </left>
        <right style="thin">
          <color rgb="FF0F1418"/>
        </right>
        <top/>
        <bottom/>
        <diagonal/>
      </border>
    </dxf>
    <dxf>
      <font>
        <b/>
        <color rgb="FF1F8A5B"/>
      </font>
      <fill>
        <patternFill patternType="solid">
          <fgColor rgb="FFE6F5ED"/>
        </patternFill>
      </fill>
    </dxf>
    <dxf>
      <font>
        <b/>
        <color rgb="FF24577A"/>
      </font>
      <fill>
        <patternFill patternType="solid">
          <fgColor rgb="FFDCEBF5"/>
        </patternFill>
      </fill>
    </dxf>
    <dxf>
      <font>
        <b/>
        <color rgb="FFF97316"/>
      </font>
      <fill>
        <patternFill patternType="solid">
          <fgColor rgb="FFFEF1CC"/>
        </patternFill>
      </fill>
    </dxf>
    <dxf>
      <font>
        <b/>
        <color rgb="FFC94737"/>
      </font>
      <fill>
        <patternFill patternType="solid">
          <fgColor rgb="FFFBE0DC"/>
        </patternFill>
      </fill>
    </dxf>
    <dxf>
      <font>
        <i/>
        <color rgb="FF31404A"/>
      </font>
      <fill>
        <patternFill patternType="solid">
          <fgColor rgb="FFF2EEE5"/>
        </patternFill>
      </fill>
    </dxf>
    <dxf>
      <font>
        <b/>
        <color rgb="FF1F8A5B"/>
      </font>
      <fill>
        <patternFill patternType="solid">
          <fgColor rgb="FFE6F5ED"/>
        </patternFill>
      </fill>
    </dxf>
    <dxf>
      <font>
        <b/>
        <color rgb="FF1F8A5B"/>
      </font>
      <fill>
        <patternFill patternType="solid">
          <fgColor rgb="FFE6F5ED"/>
        </patternFill>
      </fill>
    </dxf>
    <dxf>
      <font>
        <b/>
        <color rgb="FF24577A"/>
      </font>
      <fill>
        <patternFill patternType="solid">
          <fgColor rgb="FFDCEBF5"/>
        </patternFill>
      </fill>
    </dxf>
    <dxf>
      <font>
        <b/>
        <color rgb="FFF97316"/>
      </font>
      <fill>
        <patternFill patternType="solid">
          <fgColor rgb="FFFEF1CC"/>
        </patternFill>
      </fill>
    </dxf>
    <dxf>
      <font>
        <b/>
        <color rgb="FFC94737"/>
      </font>
      <fill>
        <patternFill patternType="solid">
          <fgColor rgb="FFFBE0DC"/>
        </patternFill>
      </fill>
    </dxf>
    <dxf>
      <font>
        <i/>
        <color rgb="FF31404A"/>
      </font>
      <fill>
        <patternFill patternType="solid">
          <fgColor rgb="FFF2EEE5"/>
        </patternFill>
      </fill>
    </dxf>
    <dxf>
      <font>
        <b/>
        <color rgb="FF1F8A5B"/>
      </font>
      <fill>
        <patternFill patternType="solid">
          <fgColor rgb="FFE6F5ED"/>
        </patternFill>
      </fill>
    </dxf>
    <dxf>
      <font>
        <b/>
        <color rgb="FF1F8A5B"/>
      </font>
      <fill>
        <patternFill patternType="solid">
          <fgColor rgb="FFE6F5ED"/>
        </patternFill>
      </fill>
    </dxf>
    <dxf>
      <font>
        <b/>
        <color rgb="FF24577A"/>
      </font>
      <fill>
        <patternFill patternType="solid">
          <fgColor rgb="FFDCEBF5"/>
        </patternFill>
      </fill>
    </dxf>
    <dxf>
      <font>
        <b/>
        <color rgb="FFF97316"/>
      </font>
      <fill>
        <patternFill patternType="solid">
          <fgColor rgb="FFFEF1CC"/>
        </patternFill>
      </fill>
    </dxf>
    <dxf>
      <font>
        <b/>
        <color rgb="FFC94737"/>
      </font>
      <fill>
        <patternFill patternType="solid">
          <fgColor rgb="FFFBE0DC"/>
        </patternFill>
      </fill>
    </dxf>
    <dxf>
      <font>
        <i/>
        <color rgb="FF31404A"/>
      </font>
      <fill>
        <patternFill patternType="solid">
          <fgColor rgb="FFF2EEE5"/>
        </patternFill>
      </fill>
    </dxf>
    <dxf>
      <font>
        <b/>
        <color rgb="FF1F8A5B"/>
      </font>
      <fill>
        <patternFill patternType="solid">
          <fgColor rgb="FFE6F5ED"/>
        </patternFill>
      </fill>
    </dxf>
    <dxf>
      <font>
        <b/>
        <color rgb="FFC94737"/>
      </font>
      <fill>
        <patternFill patternType="solid">
          <fgColor rgb="FFFBE0DC"/>
        </patternFill>
      </fill>
    </dxf>
    <dxf>
      <font>
        <b/>
        <color rgb="FFF97316"/>
      </font>
      <fill>
        <patternFill patternType="solid">
          <fgColor rgb="FFFFE1CF"/>
        </patternFill>
      </fill>
    </dxf>
    <dxf>
      <font>
        <b/>
        <color rgb="FF31404A"/>
      </font>
      <fill>
        <patternFill patternType="solid">
          <fgColor rgb="FFFEF1CC"/>
        </patternFill>
      </fill>
    </dxf>
    <dxf>
      <font>
        <b/>
        <color rgb="FF1F8A5B"/>
      </font>
      <fill>
        <patternFill patternType="solid">
          <fgColor rgb="FFE6F5E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12" width="16" customWidth="1"/>
  </cols>
  <sheetData>
    <row r="1" ht="26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" customHeight="1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2" x14ac:dyDescent="0.25">
      <c r="A4" s="3" t="s">
        <v>2</v>
      </c>
      <c r="B4" s="4" t="s">
        <v>3</v>
      </c>
      <c r="C4" s="3" t="s">
        <v>4</v>
      </c>
      <c r="D4" s="4" t="s">
        <v>5</v>
      </c>
      <c r="E4" s="3" t="s">
        <v>6</v>
      </c>
      <c r="F4" s="4" t="s">
        <v>7</v>
      </c>
      <c r="G4" s="3" t="s">
        <v>8</v>
      </c>
      <c r="H4" s="4" t="s">
        <v>9</v>
      </c>
      <c r="I4" s="3" t="s">
        <v>10</v>
      </c>
      <c r="J4" s="5">
        <v>46133</v>
      </c>
      <c r="K4" s="3" t="s">
        <v>11</v>
      </c>
      <c r="L4" s="6">
        <v>479000</v>
      </c>
    </row>
    <row r="6" spans="1:12" x14ac:dyDescent="0.25">
      <c r="A6" s="7" t="s">
        <v>12</v>
      </c>
      <c r="B6" s="7"/>
      <c r="C6" s="7"/>
      <c r="D6" s="7" t="s">
        <v>13</v>
      </c>
      <c r="E6" s="7"/>
      <c r="F6" s="7"/>
      <c r="G6" s="7" t="s">
        <v>14</v>
      </c>
      <c r="H6" s="7"/>
      <c r="I6" s="7"/>
      <c r="J6" s="7" t="s">
        <v>15</v>
      </c>
      <c r="K6" s="7"/>
      <c r="L6" s="7"/>
    </row>
    <row r="7" spans="1:12" x14ac:dyDescent="0.25">
      <c r="A7" s="8">
        <f>=AVERAGE('Lots - phases'!I7:I14)</f>
      </c>
      <c r="B7" s="8"/>
      <c r="C7" s="8"/>
      <c r="D7" s="9">
        <f>=SUM('Budget chantier'!E7:E14)/SUM('Budget chantier'!C7:C14)</f>
      </c>
      <c r="E7" s="9"/>
      <c r="F7" s="9"/>
      <c r="G7" s="10">
        <f>=COUNTIF('Journal incidents'!H7:H11,"Ouvert")+COUNTIF('Journal incidents'!H7:H11,"En cours")</f>
      </c>
      <c r="H7" s="10"/>
      <c r="I7" s="10"/>
      <c r="J7" s="11">
        <f>=SUM('Budget chantier'!F7:F14)</f>
      </c>
      <c r="K7" s="11"/>
      <c r="L7" s="11"/>
    </row>
    <row r="8" spans="1:12" x14ac:dyDescent="0.25">
      <c r="A8" s="8"/>
      <c r="B8" s="8"/>
      <c r="C8" s="8"/>
      <c r="D8" s="9"/>
      <c r="E8" s="9"/>
      <c r="F8" s="9"/>
      <c r="G8" s="10"/>
      <c r="H8" s="10"/>
      <c r="I8" s="10"/>
      <c r="J8" s="11"/>
      <c r="K8" s="11"/>
      <c r="L8" s="11"/>
    </row>
    <row r="9" spans="1:12" x14ac:dyDescent="0.25">
      <c r="A9" s="8"/>
      <c r="B9" s="8"/>
      <c r="C9" s="8"/>
      <c r="D9" s="9"/>
      <c r="E9" s="9"/>
      <c r="F9" s="9"/>
      <c r="G9" s="10"/>
      <c r="H9" s="10"/>
      <c r="I9" s="10"/>
      <c r="J9" s="11"/>
      <c r="K9" s="11"/>
      <c r="L9" s="11"/>
    </row>
    <row r="11" spans="1:12" x14ac:dyDescent="0.25">
      <c r="A11" s="7" t="s">
        <v>16</v>
      </c>
      <c r="B11" s="7"/>
      <c r="C11" s="7"/>
      <c r="D11" s="7" t="s">
        <v>17</v>
      </c>
      <c r="E11" s="7"/>
      <c r="F11" s="7"/>
      <c r="G11" s="7" t="s">
        <v>18</v>
      </c>
      <c r="H11" s="7"/>
      <c r="I11" s="7"/>
      <c r="J11" s="7" t="s">
        <v>19</v>
      </c>
      <c r="K11" s="7"/>
      <c r="L11" s="7"/>
    </row>
    <row r="12" spans="1:12" x14ac:dyDescent="0.25">
      <c r="A12" s="12">
        <f>=COUNTIF('Lots - phases'!H7:H14,"Termine")</f>
      </c>
      <c r="B12" s="12"/>
      <c r="C12" s="12"/>
      <c r="D12" s="13">
        <f>=COUNTIF('Lots - phases'!H7:H14,"En alerte")</f>
      </c>
      <c r="E12" s="13"/>
      <c r="F12" s="13"/>
      <c r="G12" s="14">
        <f>=MAX('Lots - phases'!E7:E14)</f>
      </c>
      <c r="H12" s="14"/>
      <c r="I12" s="14"/>
      <c r="J12" s="15">
        <f>=SUM('Lots - phases'!L7:L14)</f>
      </c>
      <c r="K12" s="15"/>
      <c r="L12" s="15"/>
    </row>
    <row r="13" spans="1:12" x14ac:dyDescent="0.25">
      <c r="A13" s="12"/>
      <c r="B13" s="12"/>
      <c r="C13" s="12"/>
      <c r="D13" s="13"/>
      <c r="E13" s="13"/>
      <c r="F13" s="13"/>
      <c r="G13" s="14"/>
      <c r="H13" s="14"/>
      <c r="I13" s="14"/>
      <c r="J13" s="15"/>
      <c r="K13" s="15"/>
      <c r="L13" s="15"/>
    </row>
    <row r="14" spans="1:12" x14ac:dyDescent="0.25">
      <c r="A14" s="12"/>
      <c r="B14" s="12"/>
      <c r="C14" s="12"/>
      <c r="D14" s="13"/>
      <c r="E14" s="13"/>
      <c r="F14" s="13"/>
      <c r="G14" s="14"/>
      <c r="H14" s="14"/>
      <c r="I14" s="14"/>
      <c r="J14" s="15"/>
      <c r="K14" s="15"/>
      <c r="L14" s="15"/>
    </row>
    <row r="17" spans="1:12" x14ac:dyDescent="0.25">
      <c r="A17" s="16" t="s">
        <v>20</v>
      </c>
      <c r="B17" s="16"/>
      <c r="C17" s="16"/>
      <c r="D17" s="16"/>
      <c r="E17" s="16"/>
      <c r="F17" s="16"/>
      <c r="G17" s="17" t="s">
        <v>21</v>
      </c>
      <c r="H17" s="17"/>
      <c r="I17" s="17"/>
      <c r="J17" s="17"/>
      <c r="K17" s="17"/>
      <c r="L17" s="17"/>
    </row>
    <row r="18" spans="1:12" x14ac:dyDescent="0.25">
      <c r="A18" s="16"/>
      <c r="B18" s="16"/>
      <c r="C18" s="16"/>
      <c r="D18" s="16"/>
      <c r="E18" s="16"/>
      <c r="F18" s="16"/>
      <c r="G18" s="17"/>
      <c r="H18" s="17"/>
      <c r="I18" s="17"/>
      <c r="J18" s="17"/>
      <c r="K18" s="17"/>
      <c r="L18" s="17"/>
    </row>
    <row r="20" spans="1:12" x14ac:dyDescent="0.25">
      <c r="A20" s="18" t="s">
        <v>22</v>
      </c>
      <c r="B20" s="18"/>
      <c r="C20" s="18"/>
      <c r="D20" s="18"/>
      <c r="E20" s="18"/>
      <c r="F20" s="18"/>
      <c r="G20" s="18" t="s">
        <v>23</v>
      </c>
      <c r="H20" s="18"/>
      <c r="I20" s="18"/>
      <c r="J20" s="18"/>
      <c r="K20" s="18"/>
      <c r="L20" s="18"/>
    </row>
    <row r="21" spans="1:12" x14ac:dyDescent="0.25">
      <c r="A21" s="3" t="s">
        <v>24</v>
      </c>
      <c r="B21" s="6">
        <f>=SUM('Budget chantier'!C7:C14)</f>
      </c>
      <c r="C21" s="6"/>
      <c r="D21" s="6"/>
      <c r="E21" s="6"/>
      <c r="F21" s="6"/>
      <c r="G21" s="19" t="s">
        <v>25</v>
      </c>
      <c r="H21" s="20" t="s">
        <v>26</v>
      </c>
      <c r="I21" s="20"/>
      <c r="J21" s="20"/>
      <c r="K21" s="20"/>
      <c r="L21" s="20"/>
    </row>
    <row r="22" spans="1:12" x14ac:dyDescent="0.25">
      <c r="A22" s="3" t="s">
        <v>27</v>
      </c>
      <c r="B22" s="6">
        <f>=SUM('Budget chantier'!D7:D14)</f>
      </c>
      <c r="C22" s="6"/>
      <c r="D22" s="6"/>
      <c r="E22" s="6"/>
      <c r="F22" s="6"/>
      <c r="G22" s="19" t="s">
        <v>28</v>
      </c>
      <c r="H22" s="20" t="s">
        <v>29</v>
      </c>
      <c r="I22" s="20"/>
      <c r="J22" s="20"/>
      <c r="K22" s="20"/>
      <c r="L22" s="20"/>
    </row>
    <row r="23" spans="1:12" x14ac:dyDescent="0.25">
      <c r="A23" s="3" t="s">
        <v>30</v>
      </c>
      <c r="B23" s="6">
        <f>=SUM('Budget chantier'!E7:E14)</f>
      </c>
      <c r="C23" s="6"/>
      <c r="D23" s="6"/>
      <c r="E23" s="6"/>
      <c r="F23" s="6"/>
      <c r="G23" s="19" t="s">
        <v>31</v>
      </c>
      <c r="H23" s="20" t="s">
        <v>32</v>
      </c>
      <c r="I23" s="20"/>
      <c r="J23" s="20"/>
      <c r="K23" s="20"/>
      <c r="L23" s="20"/>
    </row>
    <row r="24" spans="1:12" x14ac:dyDescent="0.25">
      <c r="A24" s="3" t="s">
        <v>33</v>
      </c>
      <c r="B24" s="6">
        <f>=SUM('Budget chantier'!H7:H14)</f>
      </c>
      <c r="C24" s="6"/>
      <c r="D24" s="6"/>
      <c r="E24" s="6"/>
      <c r="F24" s="6"/>
      <c r="G24" s="19" t="s">
        <v>34</v>
      </c>
      <c r="H24" s="20" t="s">
        <v>35</v>
      </c>
      <c r="I24" s="20"/>
      <c r="J24" s="20"/>
      <c r="K24" s="20"/>
      <c r="L24" s="20"/>
    </row>
    <row r="25" spans="1:6" x14ac:dyDescent="0.25">
      <c r="A25" s="3" t="s">
        <v>36</v>
      </c>
      <c r="B25" s="21">
        <f>=COUNTIF('Budget chantier'!I7:I14,"Depassement")</f>
      </c>
      <c r="C25" s="21"/>
      <c r="D25" s="21"/>
      <c r="E25" s="21"/>
      <c r="F25" s="21"/>
    </row>
  </sheetData>
  <mergeCells count="31">
    <mergeCell ref="A1:L1"/>
    <mergeCell ref="A2:L2"/>
    <mergeCell ref="A6:C6"/>
    <mergeCell ref="D6:F6"/>
    <mergeCell ref="G6:I6"/>
    <mergeCell ref="J6:L6"/>
    <mergeCell ref="A7:C9"/>
    <mergeCell ref="D7:F9"/>
    <mergeCell ref="G7:I9"/>
    <mergeCell ref="J7:L9"/>
    <mergeCell ref="A11:C11"/>
    <mergeCell ref="D11:F11"/>
    <mergeCell ref="G11:I11"/>
    <mergeCell ref="J11:L11"/>
    <mergeCell ref="A12:C14"/>
    <mergeCell ref="D12:F14"/>
    <mergeCell ref="G12:I14"/>
    <mergeCell ref="J12:L14"/>
    <mergeCell ref="A17:F18"/>
    <mergeCell ref="G17:L18"/>
    <mergeCell ref="A20:F20"/>
    <mergeCell ref="G20:L20"/>
    <mergeCell ref="B21:F21"/>
    <mergeCell ref="H21:L21"/>
    <mergeCell ref="B22:F22"/>
    <mergeCell ref="H22:L22"/>
    <mergeCell ref="B23:F23"/>
    <mergeCell ref="H23:L23"/>
    <mergeCell ref="B24:F24"/>
    <mergeCell ref="H24:L24"/>
    <mergeCell ref="B25:F25"/>
  </mergeCells>
  <conditionalFormatting sqref="B7:B14">
    <cfRule type="iconSet" priority="1">
      <iconSet iconSet="4TrafficLights">
        <cfvo type="num" val="0"/>
        <cfvo type="num" val="0.35"/>
        <cfvo type="num" val="0.7"/>
        <cfvo type="num" val="1"/>
      </iconSet>
    </cfRule>
  </conditionalFormatting>
  <pageMargins left="0.3" right="0.3" top="0.5" bottom="0.5" header="0.2" footer="0.2"/>
  <pageSetup paperSize="9" orientation="landscape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5"/>
  <sheetViews>
    <sheetView workbookViewId="0">
      <pane xSplit="8" ySplit="6" topLeftCell="I7" activePane="bottomRight" state="frozen"/>
      <selection pane="bottomRigh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18" customWidth="1"/>
    <col min="4" max="5" width="13" customWidth="1"/>
    <col min="6" max="8" width="12" customWidth="1"/>
    <col min="9" max="30" width="4.3" customWidth="1"/>
  </cols>
  <sheetData>
    <row r="1" ht="26" customHeight="1" spans="1:30" x14ac:dyDescent="0.25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20" customHeight="1" spans="1:30" x14ac:dyDescent="0.25">
      <c r="A2" s="2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5" ht="28" customHeight="1" spans="1:30" s="22" customFormat="1" x14ac:dyDescent="0.25">
      <c r="A5" s="23" t="s">
        <v>39</v>
      </c>
      <c r="B5" s="23" t="s">
        <v>40</v>
      </c>
      <c r="C5" s="23" t="s">
        <v>6</v>
      </c>
      <c r="D5" s="23" t="s">
        <v>41</v>
      </c>
      <c r="E5" s="23" t="s">
        <v>42</v>
      </c>
      <c r="F5" s="23" t="s">
        <v>43</v>
      </c>
      <c r="G5" s="23" t="s">
        <v>44</v>
      </c>
      <c r="H5" s="23" t="s">
        <v>45</v>
      </c>
      <c r="I5" s="24">
        <v>46055</v>
      </c>
      <c r="J5" s="25">
        <v>46062</v>
      </c>
      <c r="K5" s="24">
        <v>46069</v>
      </c>
      <c r="L5" s="25">
        <v>46076</v>
      </c>
      <c r="M5" s="24">
        <v>46083</v>
      </c>
      <c r="N5" s="25">
        <v>46090</v>
      </c>
      <c r="O5" s="24">
        <v>46097</v>
      </c>
      <c r="P5" s="25">
        <v>46104</v>
      </c>
      <c r="Q5" s="24">
        <v>46111</v>
      </c>
      <c r="R5" s="25">
        <v>46118</v>
      </c>
      <c r="S5" s="24">
        <v>46125</v>
      </c>
      <c r="T5" s="25">
        <v>46132</v>
      </c>
      <c r="U5" s="24">
        <v>46139</v>
      </c>
      <c r="V5" s="25">
        <v>46146</v>
      </c>
      <c r="W5" s="24">
        <v>46153</v>
      </c>
      <c r="X5" s="25">
        <v>46160</v>
      </c>
      <c r="Y5" s="24">
        <v>46167</v>
      </c>
      <c r="Z5" s="25">
        <v>46174</v>
      </c>
      <c r="AA5" s="24">
        <v>46181</v>
      </c>
      <c r="AB5" s="25">
        <v>46188</v>
      </c>
      <c r="AC5" s="24">
        <v>46195</v>
      </c>
      <c r="AD5" s="25">
        <v>46202</v>
      </c>
    </row>
    <row r="6" ht="24" customHeight="1" spans="1:30" x14ac:dyDescent="0.25">
      <c r="A6" s="26">
        <f>'Lots - phases'!A7</f>
      </c>
      <c r="B6" s="27">
        <f>'Lots - phases'!B7</f>
      </c>
      <c r="C6" s="27">
        <f>'Lots - phases'!C7</f>
      </c>
      <c r="D6" s="28">
        <f>'Lots - phases'!D7</f>
      </c>
      <c r="E6" s="28">
        <f>'Lots - phases'!E7</f>
      </c>
      <c r="F6" s="27">
        <f>'Lots - phases'!H7</f>
      </c>
      <c r="G6" s="29">
        <f>'Lots - phases'!I7</f>
      </c>
      <c r="H6" s="30">
        <f>E6-D6+1</f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ht="24" customHeight="1" spans="1:30" x14ac:dyDescent="0.25">
      <c r="A7" s="26">
        <f>'Lots - phases'!A8</f>
      </c>
      <c r="B7" s="27">
        <f>'Lots - phases'!B8</f>
      </c>
      <c r="C7" s="27">
        <f>'Lots - phases'!C8</f>
      </c>
      <c r="D7" s="28">
        <f>'Lots - phases'!D8</f>
      </c>
      <c r="E7" s="28">
        <f>'Lots - phases'!E8</f>
      </c>
      <c r="F7" s="27">
        <f>'Lots - phases'!H8</f>
      </c>
      <c r="G7" s="29">
        <f>'Lots - phases'!I8</f>
      </c>
      <c r="H7" s="30">
        <f>E7-D7+1</f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ht="24" customHeight="1" spans="1:30" x14ac:dyDescent="0.25">
      <c r="A8" s="26">
        <f>'Lots - phases'!A9</f>
      </c>
      <c r="B8" s="27">
        <f>'Lots - phases'!B9</f>
      </c>
      <c r="C8" s="27">
        <f>'Lots - phases'!C9</f>
      </c>
      <c r="D8" s="28">
        <f>'Lots - phases'!D9</f>
      </c>
      <c r="E8" s="28">
        <f>'Lots - phases'!E9</f>
      </c>
      <c r="F8" s="27">
        <f>'Lots - phases'!H9</f>
      </c>
      <c r="G8" s="29">
        <f>'Lots - phases'!I9</f>
      </c>
      <c r="H8" s="30">
        <f>E8-D8+1</f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 ht="24" customHeight="1" spans="1:30" x14ac:dyDescent="0.25">
      <c r="A9" s="26">
        <f>'Lots - phases'!A10</f>
      </c>
      <c r="B9" s="27">
        <f>'Lots - phases'!B10</f>
      </c>
      <c r="C9" s="27">
        <f>'Lots - phases'!C10</f>
      </c>
      <c r="D9" s="28">
        <f>'Lots - phases'!D10</f>
      </c>
      <c r="E9" s="28">
        <f>'Lots - phases'!E10</f>
      </c>
      <c r="F9" s="27">
        <f>'Lots - phases'!H10</f>
      </c>
      <c r="G9" s="29">
        <f>'Lots - phases'!I10</f>
      </c>
      <c r="H9" s="30">
        <f>E9-D9+1</f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ht="24" customHeight="1" spans="1:30" x14ac:dyDescent="0.25">
      <c r="A10" s="26">
        <f>'Lots - phases'!A11</f>
      </c>
      <c r="B10" s="27">
        <f>'Lots - phases'!B11</f>
      </c>
      <c r="C10" s="27">
        <f>'Lots - phases'!C11</f>
      </c>
      <c r="D10" s="28">
        <f>'Lots - phases'!D11</f>
      </c>
      <c r="E10" s="28">
        <f>'Lots - phases'!E11</f>
      </c>
      <c r="F10" s="27">
        <f>'Lots - phases'!H11</f>
      </c>
      <c r="G10" s="29">
        <f>'Lots - phases'!I11</f>
      </c>
      <c r="H10" s="30">
        <f>E10-D10+1</f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 ht="24" customHeight="1" spans="1:30" x14ac:dyDescent="0.25">
      <c r="A11" s="26">
        <f>'Lots - phases'!A12</f>
      </c>
      <c r="B11" s="27">
        <f>'Lots - phases'!B12</f>
      </c>
      <c r="C11" s="27">
        <f>'Lots - phases'!C12</f>
      </c>
      <c r="D11" s="28">
        <f>'Lots - phases'!D12</f>
      </c>
      <c r="E11" s="28">
        <f>'Lots - phases'!E12</f>
      </c>
      <c r="F11" s="27">
        <f>'Lots - phases'!H12</f>
      </c>
      <c r="G11" s="29">
        <f>'Lots - phases'!I12</f>
      </c>
      <c r="H11" s="30">
        <f>E11-D11+1</f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ht="24" customHeight="1" spans="1:30" x14ac:dyDescent="0.25">
      <c r="A12" s="26">
        <f>'Lots - phases'!A13</f>
      </c>
      <c r="B12" s="27">
        <f>'Lots - phases'!B13</f>
      </c>
      <c r="C12" s="27">
        <f>'Lots - phases'!C13</f>
      </c>
      <c r="D12" s="28">
        <f>'Lots - phases'!D13</f>
      </c>
      <c r="E12" s="28">
        <f>'Lots - phases'!E13</f>
      </c>
      <c r="F12" s="27">
        <f>'Lots - phases'!H13</f>
      </c>
      <c r="G12" s="29">
        <f>'Lots - phases'!I13</f>
      </c>
      <c r="H12" s="30">
        <f>E12-D12+1</f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ht="24" customHeight="1" spans="1:30" x14ac:dyDescent="0.25">
      <c r="A13" s="26">
        <f>'Lots - phases'!A14</f>
      </c>
      <c r="B13" s="27">
        <f>'Lots - phases'!B14</f>
      </c>
      <c r="C13" s="27">
        <f>'Lots - phases'!C14</f>
      </c>
      <c r="D13" s="28">
        <f>'Lots - phases'!D14</f>
      </c>
      <c r="E13" s="28">
        <f>'Lots - phases'!E14</f>
      </c>
      <c r="F13" s="27">
        <f>'Lots - phases'!H14</f>
      </c>
      <c r="G13" s="29">
        <f>'Lots - phases'!I14</f>
      </c>
      <c r="H13" s="30">
        <f>E13-D13+1</f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5" spans="1:30" x14ac:dyDescent="0.25">
      <c r="A15" s="32" t="s">
        <v>46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</sheetData>
  <mergeCells count="3">
    <mergeCell ref="A1:AD1"/>
    <mergeCell ref="A2:AD2"/>
    <mergeCell ref="A15:AD15"/>
  </mergeCells>
  <conditionalFormatting sqref="F6:F13">
    <cfRule type="containsText" dxfId="0" priority="1">
      <formula>NOT(ISERROR(SEARCH("Termine",F6)))</formula>
    </cfRule>
    <cfRule type="containsText" dxfId="1" priority="2">
      <formula>NOT(ISERROR(SEARCH("En cours",F6)))</formula>
    </cfRule>
    <cfRule type="containsText" dxfId="2" priority="3">
      <formula>NOT(ISERROR(SEARCH("En alerte",F6)))</formula>
    </cfRule>
    <cfRule type="containsText" dxfId="3" priority="4">
      <formula>NOT(ISERROR(SEARCH("Ouvert",F6)))</formula>
    </cfRule>
    <cfRule type="containsText" dxfId="4" priority="5">
      <formula>NOT(ISERROR(SEARCH("A lancer",F6)))</formula>
    </cfRule>
    <cfRule type="containsText" dxfId="5" priority="6">
      <formula>NOT(ISERROR(SEARCH("Clos",F6)))</formula>
    </cfRule>
  </conditionalFormatting>
  <conditionalFormatting sqref="I6:AD13">
    <cfRule type="expression" dxfId="6" priority="1">
      <formula>AND(I$5&gt;=$D6,I$5&lt;=$E6,I$5&lt;=$D6+MAX(0,ROUND(($E6-$D6)*$G6,0)))</formula>
    </cfRule>
    <cfRule type="expression" dxfId="7" priority="2">
      <formula>AND(I$5&gt;=$D6,I$5&lt;=$E6,I$5&gt;$D6+MAX(0,ROUND(($E6-$D6)*$G6,0)))</formula>
    </cfRule>
    <cfRule type="expression" dxfId="8" priority="3">
      <formula>AND(I$5&lt;TODAY()+7,I$5&gt;=TODAY())</formula>
    </cfRule>
  </conditionalFormatting>
  <pageMargins left="0.3" right="0.3" top="0.5" bottom="0.5" header="0.2" footer="0.2"/>
  <pageSetup paperSize="9" orientation="landscape" fitToWidth="1"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18" customWidth="1"/>
    <col min="4" max="7" width="13" customWidth="1"/>
    <col min="8" max="9" width="14" customWidth="1"/>
    <col min="10" max="10" width="12" customWidth="1"/>
    <col min="11" max="11" width="13" customWidth="1"/>
    <col min="12" max="12" width="11" customWidth="1"/>
    <col min="13" max="13" width="32" customWidth="1"/>
  </cols>
  <sheetData>
    <row r="1" ht="26" customHeight="1" spans="1:13" x14ac:dyDescent="0.25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" customHeight="1" spans="1:13" x14ac:dyDescent="0.25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2" x14ac:dyDescent="0.25">
      <c r="A4" s="3" t="s">
        <v>2</v>
      </c>
      <c r="B4" s="4" t="s">
        <v>3</v>
      </c>
      <c r="C4" s="3" t="s">
        <v>6</v>
      </c>
      <c r="D4" s="4" t="s">
        <v>7</v>
      </c>
      <c r="E4" s="3" t="s">
        <v>49</v>
      </c>
      <c r="F4" s="5">
        <v>46056</v>
      </c>
      <c r="G4" s="3" t="s">
        <v>50</v>
      </c>
      <c r="H4" s="5">
        <v>46199</v>
      </c>
      <c r="I4" s="3" t="s">
        <v>51</v>
      </c>
      <c r="J4" s="6">
        <v>479000</v>
      </c>
      <c r="K4" s="3" t="s">
        <v>52</v>
      </c>
      <c r="L4" s="21">
        <v>8</v>
      </c>
    </row>
    <row r="6" ht="28" customHeight="1" spans="1:13" s="22" customFormat="1" x14ac:dyDescent="0.25">
      <c r="A6" s="23" t="s">
        <v>39</v>
      </c>
      <c r="B6" s="23" t="s">
        <v>53</v>
      </c>
      <c r="C6" s="23" t="s">
        <v>6</v>
      </c>
      <c r="D6" s="23" t="s">
        <v>54</v>
      </c>
      <c r="E6" s="23" t="s">
        <v>55</v>
      </c>
      <c r="F6" s="23" t="s">
        <v>56</v>
      </c>
      <c r="G6" s="23" t="s">
        <v>57</v>
      </c>
      <c r="H6" s="23" t="s">
        <v>43</v>
      </c>
      <c r="I6" s="23" t="s">
        <v>44</v>
      </c>
      <c r="J6" s="23" t="s">
        <v>58</v>
      </c>
      <c r="K6" s="23" t="s">
        <v>59</v>
      </c>
      <c r="L6" s="23" t="s">
        <v>60</v>
      </c>
      <c r="M6" s="23" t="s">
        <v>61</v>
      </c>
    </row>
    <row r="7" ht="23" customHeight="1" spans="1:13" x14ac:dyDescent="0.25">
      <c r="A7" s="27" t="s">
        <v>62</v>
      </c>
      <c r="B7" s="27" t="s">
        <v>63</v>
      </c>
      <c r="C7" s="27" t="s">
        <v>64</v>
      </c>
      <c r="D7" s="33">
        <v>46056</v>
      </c>
      <c r="E7" s="33">
        <v>46060</v>
      </c>
      <c r="F7" s="33">
        <v>46056</v>
      </c>
      <c r="G7" s="33">
        <v>46059</v>
      </c>
      <c r="H7" s="27" t="s">
        <v>65</v>
      </c>
      <c r="I7" s="34">
        <v>1</v>
      </c>
      <c r="J7" s="35">
        <f>E7-D7+1</f>
      </c>
      <c r="K7" s="35">
        <f>IF(I7=1,0,MAX(E7-TODAY(),0))</f>
      </c>
      <c r="L7" s="35">
        <f>IF(OR(F7="",G7=""),MAX(TODAY()-E7,0),G7-E7)</f>
      </c>
      <c r="M7" s="27" t="s">
        <v>66</v>
      </c>
    </row>
    <row r="8" ht="23" customHeight="1" spans="1:13" x14ac:dyDescent="0.25">
      <c r="A8" s="27" t="s">
        <v>67</v>
      </c>
      <c r="B8" s="27" t="s">
        <v>68</v>
      </c>
      <c r="C8" s="27" t="s">
        <v>69</v>
      </c>
      <c r="D8" s="33">
        <v>46063</v>
      </c>
      <c r="E8" s="33">
        <v>46074</v>
      </c>
      <c r="F8" s="33">
        <v>46063</v>
      </c>
      <c r="G8" s="33">
        <v>46075</v>
      </c>
      <c r="H8" s="27" t="s">
        <v>65</v>
      </c>
      <c r="I8" s="34">
        <v>1</v>
      </c>
      <c r="J8" s="35">
        <f>E8-D8+1</f>
      </c>
      <c r="K8" s="35">
        <f>IF(I8=1,0,MAX(E8-TODAY(),0))</f>
      </c>
      <c r="L8" s="35">
        <f>IF(OR(F8="",G8=""),MAX(TODAY()-E8,0),G8-E8)</f>
      </c>
      <c r="M8" s="27" t="s">
        <v>70</v>
      </c>
    </row>
    <row r="9" ht="23" customHeight="1" spans="1:13" x14ac:dyDescent="0.25">
      <c r="A9" s="27" t="s">
        <v>71</v>
      </c>
      <c r="B9" s="27" t="s">
        <v>72</v>
      </c>
      <c r="C9" s="27" t="s">
        <v>73</v>
      </c>
      <c r="D9" s="33">
        <v>46077</v>
      </c>
      <c r="E9" s="33">
        <v>46095</v>
      </c>
      <c r="F9" s="33">
        <v>46077</v>
      </c>
      <c r="G9" s="33">
        <v>46094</v>
      </c>
      <c r="H9" s="27" t="s">
        <v>65</v>
      </c>
      <c r="I9" s="34">
        <v>1</v>
      </c>
      <c r="J9" s="35">
        <f>E9-D9+1</f>
      </c>
      <c r="K9" s="35">
        <f>IF(I9=1,0,MAX(E9-TODAY(),0))</f>
      </c>
      <c r="L9" s="35">
        <f>IF(OR(F9="",G9=""),MAX(TODAY()-E9,0),G9-E9)</f>
      </c>
      <c r="M9" s="27" t="s">
        <v>74</v>
      </c>
    </row>
    <row r="10" ht="23" customHeight="1" spans="1:13" x14ac:dyDescent="0.25">
      <c r="A10" s="27" t="s">
        <v>75</v>
      </c>
      <c r="B10" s="27" t="s">
        <v>76</v>
      </c>
      <c r="C10" s="27" t="s">
        <v>77</v>
      </c>
      <c r="D10" s="33">
        <v>46098</v>
      </c>
      <c r="E10" s="33">
        <v>46116</v>
      </c>
      <c r="F10" s="33">
        <v>46098</v>
      </c>
      <c r="G10" s="33">
        <v>46117</v>
      </c>
      <c r="H10" s="27" t="s">
        <v>65</v>
      </c>
      <c r="I10" s="34">
        <v>1</v>
      </c>
      <c r="J10" s="35">
        <f>E10-D10+1</f>
      </c>
      <c r="K10" s="35">
        <f>IF(I10=1,0,MAX(E10-TODAY(),0))</f>
      </c>
      <c r="L10" s="35">
        <f>IF(OR(F10="",G10=""),MAX(TODAY()-E10,0),G10-E10)</f>
      </c>
      <c r="M10" s="27" t="s">
        <v>78</v>
      </c>
    </row>
    <row r="11" ht="23" customHeight="1" spans="1:13" x14ac:dyDescent="0.25">
      <c r="A11" s="27" t="s">
        <v>79</v>
      </c>
      <c r="B11" s="27" t="s">
        <v>80</v>
      </c>
      <c r="C11" s="27" t="s">
        <v>77</v>
      </c>
      <c r="D11" s="33">
        <v>46119</v>
      </c>
      <c r="E11" s="33">
        <v>46137</v>
      </c>
      <c r="F11" s="33">
        <v>46119</v>
      </c>
      <c r="G11" s="36"/>
      <c r="H11" s="27" t="s">
        <v>81</v>
      </c>
      <c r="I11" s="34">
        <v>0.85</v>
      </c>
      <c r="J11" s="35">
        <f>E11-D11+1</f>
      </c>
      <c r="K11" s="35">
        <f>IF(I11=1,0,MAX(E11-TODAY(),0))</f>
      </c>
      <c r="L11" s="35">
        <f>IF(OR(F11="",G11=""),MAX(TODAY()-E11,0),G11-E11)</f>
      </c>
      <c r="M11" s="27" t="s">
        <v>82</v>
      </c>
    </row>
    <row r="12" ht="23" customHeight="1" spans="1:13" x14ac:dyDescent="0.25">
      <c r="A12" s="27" t="s">
        <v>83</v>
      </c>
      <c r="B12" s="27" t="s">
        <v>84</v>
      </c>
      <c r="C12" s="27" t="s">
        <v>85</v>
      </c>
      <c r="D12" s="33">
        <v>46140</v>
      </c>
      <c r="E12" s="33">
        <v>46156</v>
      </c>
      <c r="F12" s="33">
        <v>46142</v>
      </c>
      <c r="G12" s="36"/>
      <c r="H12" s="27" t="s">
        <v>86</v>
      </c>
      <c r="I12" s="34">
        <v>0.35</v>
      </c>
      <c r="J12" s="35">
        <f>E12-D12+1</f>
      </c>
      <c r="K12" s="35">
        <f>IF(I12=1,0,MAX(E12-TODAY(),0))</f>
      </c>
      <c r="L12" s="35">
        <f>IF(OR(F12="",G12=""),MAX(TODAY()-E12,0),G12-E12)</f>
      </c>
      <c r="M12" s="27" t="s">
        <v>87</v>
      </c>
    </row>
    <row r="13" ht="23" customHeight="1" spans="1:13" x14ac:dyDescent="0.25">
      <c r="A13" s="27" t="s">
        <v>88</v>
      </c>
      <c r="B13" s="27" t="s">
        <v>89</v>
      </c>
      <c r="C13" s="27" t="s">
        <v>90</v>
      </c>
      <c r="D13" s="33">
        <v>46148</v>
      </c>
      <c r="E13" s="33">
        <v>46162</v>
      </c>
      <c r="F13" s="36"/>
      <c r="G13" s="36"/>
      <c r="H13" s="27" t="s">
        <v>91</v>
      </c>
      <c r="I13" s="34">
        <v>0</v>
      </c>
      <c r="J13" s="35">
        <f>E13-D13+1</f>
      </c>
      <c r="K13" s="35">
        <f>IF(I13=1,0,MAX(E13-TODAY(),0))</f>
      </c>
      <c r="L13" s="35">
        <f>IF(OR(F13="",G13=""),MAX(TODAY()-E13,0),G13-E13)</f>
      </c>
      <c r="M13" s="27" t="s">
        <v>92</v>
      </c>
    </row>
    <row r="14" ht="23" customHeight="1" spans="1:13" x14ac:dyDescent="0.25">
      <c r="A14" s="27" t="s">
        <v>93</v>
      </c>
      <c r="B14" s="27" t="s">
        <v>94</v>
      </c>
      <c r="C14" s="27" t="s">
        <v>95</v>
      </c>
      <c r="D14" s="33">
        <v>46160</v>
      </c>
      <c r="E14" s="33">
        <v>46199</v>
      </c>
      <c r="F14" s="36"/>
      <c r="G14" s="36"/>
      <c r="H14" s="27" t="s">
        <v>91</v>
      </c>
      <c r="I14" s="34">
        <v>0</v>
      </c>
      <c r="J14" s="35">
        <f>E14-D14+1</f>
      </c>
      <c r="K14" s="35">
        <f>IF(I14=1,0,MAX(E14-TODAY(),0))</f>
      </c>
      <c r="L14" s="35">
        <f>IF(OR(F14="",G14=""),MAX(TODAY()-E14,0),G14-E14)</f>
      </c>
      <c r="M14" s="27" t="s">
        <v>96</v>
      </c>
    </row>
  </sheetData>
  <autoFilter ref="A6:M14"/>
  <mergeCells count="2">
    <mergeCell ref="A1:M1"/>
    <mergeCell ref="A2:M2"/>
  </mergeCells>
  <conditionalFormatting sqref="H7:H14">
    <cfRule type="containsText" dxfId="9" priority="1">
      <formula>NOT(ISERROR(SEARCH("Termine",H7)))</formula>
    </cfRule>
    <cfRule type="containsText" dxfId="10" priority="2">
      <formula>NOT(ISERROR(SEARCH("En cours",H7)))</formula>
    </cfRule>
    <cfRule type="containsText" dxfId="11" priority="3">
      <formula>NOT(ISERROR(SEARCH("En alerte",H7)))</formula>
    </cfRule>
    <cfRule type="containsText" dxfId="12" priority="4">
      <formula>NOT(ISERROR(SEARCH("Ouvert",H7)))</formula>
    </cfRule>
    <cfRule type="containsText" dxfId="13" priority="5">
      <formula>NOT(ISERROR(SEARCH("A lancer",H7)))</formula>
    </cfRule>
    <cfRule type="containsText" dxfId="14" priority="6">
      <formula>NOT(ISERROR(SEARCH("Clos",H7)))</formula>
    </cfRule>
  </conditionalFormatting>
  <conditionalFormatting sqref="I7:I14">
    <cfRule type="dataBar" priority="6">
      <dataBar>
        <cfvo type="num" val="0"/>
        <cfvo type="num" val="1"/>
        <color rgb="FFF97316"/>
      </dataBar>
      <extLst>
        <ext xmlns:x14="http://schemas.microsoft.com/office/spreadsheetml/2009/9/main" uri="{B025F937-C7B1-47D3-B67F-A62EFF666E3E}">
          <x14:id>{B05917C9-68BD-4698-8B9A-C2EFB6D1EC7E}</x14:id>
        </ext>
      </extLst>
    </cfRule>
  </conditionalFormatting>
  <conditionalFormatting sqref="L7:L14">
    <cfRule type="iconSet" priority="7">
      <iconSet reverse="1">
        <cfvo type="num" val="0"/>
        <cfvo type="num" val="2"/>
        <cfvo type="num" val="6"/>
      </iconSet>
    </cfRule>
  </conditionalFormatting>
  <dataValidations count="2">
    <dataValidation type="list" sqref="H10:H14">
      <formula1>"Termine,En cours,En alerte,A lancer"</formula1>
    </dataValidation>
    <dataValidation type="list" sqref="H7:H14">
      <formula1>"Termine,En cours,En alerte,A lancer"</formula1>
    </dataValidation>
  </dataValidations>
  <pageMargins left="0.3" right="0.3" top="0.5" bottom="0.5" header="0.2" footer="0.2"/>
  <pageSetup paperSize="9" orientation="landscape" fitToWidth="1" fitToHeight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917C9-68BD-4698-8B9A-C2EFB6D1EC7E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</x14:dataBar>
          </x14:cfRule>
          <xm:sqref>I7:I14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2" width="18" customWidth="1"/>
    <col min="3" max="8" width="15" customWidth="1"/>
    <col min="9" max="9" width="16" customWidth="1"/>
    <col min="10" max="10" width="30" customWidth="1"/>
  </cols>
  <sheetData>
    <row r="1" ht="26" customHeight="1" spans="1:10" x14ac:dyDescent="0.25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 x14ac:dyDescent="0.25">
      <c r="A2" s="2" t="s">
        <v>98</v>
      </c>
      <c r="B2" s="2"/>
      <c r="C2" s="2"/>
      <c r="D2" s="2"/>
      <c r="E2" s="2"/>
      <c r="F2" s="2"/>
      <c r="G2" s="2"/>
      <c r="H2" s="2"/>
      <c r="I2" s="2"/>
      <c r="J2" s="2"/>
    </row>
    <row r="4" spans="1:8" x14ac:dyDescent="0.25">
      <c r="A4" s="3" t="s">
        <v>11</v>
      </c>
      <c r="B4" s="6">
        <v>479000</v>
      </c>
      <c r="C4" s="3" t="s">
        <v>99</v>
      </c>
      <c r="D4" s="6">
        <f>=SUM(E7:E14)</f>
      </c>
      <c r="E4" s="3" t="s">
        <v>33</v>
      </c>
      <c r="F4" s="6">
        <f>=SUM(H7:H14)</f>
      </c>
      <c r="G4" s="3" t="s">
        <v>100</v>
      </c>
      <c r="H4" s="21">
        <f>=COUNTIF(I7:I14,"Depassement")</f>
      </c>
    </row>
    <row r="6" ht="28" customHeight="1" spans="1:10" s="22" customFormat="1" x14ac:dyDescent="0.25">
      <c r="A6" s="23" t="s">
        <v>101</v>
      </c>
      <c r="B6" s="23" t="s">
        <v>6</v>
      </c>
      <c r="C6" s="23" t="s">
        <v>24</v>
      </c>
      <c r="D6" s="23" t="s">
        <v>27</v>
      </c>
      <c r="E6" s="23" t="s">
        <v>30</v>
      </c>
      <c r="F6" s="23" t="s">
        <v>102</v>
      </c>
      <c r="G6" s="23" t="s">
        <v>103</v>
      </c>
      <c r="H6" s="23" t="s">
        <v>104</v>
      </c>
      <c r="I6" s="23" t="s">
        <v>43</v>
      </c>
      <c r="J6" s="23" t="s">
        <v>61</v>
      </c>
    </row>
    <row r="7" ht="23" customHeight="1" spans="1:10" x14ac:dyDescent="0.25">
      <c r="A7" s="27" t="s">
        <v>63</v>
      </c>
      <c r="B7" s="27" t="s">
        <v>64</v>
      </c>
      <c r="C7" s="37">
        <v>18000</v>
      </c>
      <c r="D7" s="37">
        <v>17200</v>
      </c>
      <c r="E7" s="37">
        <v>16500</v>
      </c>
      <c r="F7" s="37">
        <f>E7-C7</f>
      </c>
      <c r="G7" s="34">
        <f>IF(C7=0,0,E7/C7)</f>
      </c>
      <c r="H7" s="37">
        <f>C7-E7</f>
      </c>
      <c r="I7" s="27">
        <f>IF(E7&gt;C7,"Depassement",IF(D7/C7&gt;0.8,"A surveiller","Sous controle"))</f>
      </c>
      <c r="J7" s="27" t="s">
        <v>105</v>
      </c>
    </row>
    <row r="8" ht="23" customHeight="1" spans="1:10" x14ac:dyDescent="0.25">
      <c r="A8" s="27" t="s">
        <v>106</v>
      </c>
      <c r="B8" s="27" t="s">
        <v>69</v>
      </c>
      <c r="C8" s="37">
        <v>42000</v>
      </c>
      <c r="D8" s="37">
        <v>44600</v>
      </c>
      <c r="E8" s="37">
        <v>44800</v>
      </c>
      <c r="F8" s="37">
        <f>E8-C8</f>
      </c>
      <c r="G8" s="34">
        <f>IF(C8=0,0,E8/C8)</f>
      </c>
      <c r="H8" s="37">
        <f>C8-E8</f>
      </c>
      <c r="I8" s="27">
        <f>IF(E8&gt;C8,"Depassement",IF(D8/C8&gt;0.8,"A surveiller","Sous controle"))</f>
      </c>
      <c r="J8" s="27" t="s">
        <v>107</v>
      </c>
    </row>
    <row r="9" ht="23" customHeight="1" spans="1:10" x14ac:dyDescent="0.25">
      <c r="A9" s="27" t="s">
        <v>108</v>
      </c>
      <c r="B9" s="27" t="s">
        <v>73</v>
      </c>
      <c r="C9" s="37">
        <v>56000</v>
      </c>
      <c r="D9" s="37">
        <v>54850</v>
      </c>
      <c r="E9" s="37">
        <v>53920</v>
      </c>
      <c r="F9" s="37">
        <f>E9-C9</f>
      </c>
      <c r="G9" s="34">
        <f>IF(C9=0,0,E9/C9)</f>
      </c>
      <c r="H9" s="37">
        <f>C9-E9</f>
      </c>
      <c r="I9" s="27">
        <f>IF(E9&gt;C9,"Depassement",IF(D9/C9&gt;0.8,"A surveiller","Sous controle"))</f>
      </c>
      <c r="J9" s="27" t="s">
        <v>109</v>
      </c>
    </row>
    <row r="10" ht="23" customHeight="1" spans="1:10" x14ac:dyDescent="0.25">
      <c r="A10" s="27" t="s">
        <v>110</v>
      </c>
      <c r="B10" s="27" t="s">
        <v>77</v>
      </c>
      <c r="C10" s="37">
        <v>128000</v>
      </c>
      <c r="D10" s="37">
        <v>121500</v>
      </c>
      <c r="E10" s="37">
        <v>119500</v>
      </c>
      <c r="F10" s="37">
        <f>E10-C10</f>
      </c>
      <c r="G10" s="34">
        <f>IF(C10=0,0,E10/C10)</f>
      </c>
      <c r="H10" s="37">
        <f>C10-E10</f>
      </c>
      <c r="I10" s="27">
        <f>IF(E10&gt;C10,"Depassement",IF(D10/C10&gt;0.8,"A surveiller","Sous controle"))</f>
      </c>
      <c r="J10" s="27" t="s">
        <v>111</v>
      </c>
    </row>
    <row r="11" ht="23" customHeight="1" spans="1:10" x14ac:dyDescent="0.25">
      <c r="A11" s="27" t="s">
        <v>112</v>
      </c>
      <c r="B11" s="27" t="s">
        <v>85</v>
      </c>
      <c r="C11" s="37">
        <v>76000</v>
      </c>
      <c r="D11" s="37">
        <v>53200</v>
      </c>
      <c r="E11" s="37">
        <v>18200</v>
      </c>
      <c r="F11" s="37">
        <f>E11-C11</f>
      </c>
      <c r="G11" s="34">
        <f>IF(C11=0,0,E11/C11)</f>
      </c>
      <c r="H11" s="37">
        <f>C11-E11</f>
      </c>
      <c r="I11" s="27">
        <f>IF(E11&gt;C11,"Depassement",IF(D11/C11&gt;0.8,"A surveiller","Sous controle"))</f>
      </c>
      <c r="J11" s="27" t="s">
        <v>113</v>
      </c>
    </row>
    <row r="12" ht="23" customHeight="1" spans="1:10" x14ac:dyDescent="0.25">
      <c r="A12" s="27" t="s">
        <v>89</v>
      </c>
      <c r="B12" s="27" t="s">
        <v>90</v>
      </c>
      <c r="C12" s="37">
        <v>54000</v>
      </c>
      <c r="D12" s="37">
        <v>49800</v>
      </c>
      <c r="E12" s="37">
        <v>0</v>
      </c>
      <c r="F12" s="37">
        <f>E12-C12</f>
      </c>
      <c r="G12" s="34">
        <f>IF(C12=0,0,E12/C12)</f>
      </c>
      <c r="H12" s="37">
        <f>C12-E12</f>
      </c>
      <c r="I12" s="27">
        <f>IF(E12&gt;C12,"Depassement",IF(D12/C12&gt;0.8,"A surveiller","Sous controle"))</f>
      </c>
      <c r="J12" s="27" t="s">
        <v>114</v>
      </c>
    </row>
    <row r="13" ht="23" customHeight="1" spans="1:10" x14ac:dyDescent="0.25">
      <c r="A13" s="27" t="s">
        <v>115</v>
      </c>
      <c r="B13" s="27" t="s">
        <v>95</v>
      </c>
      <c r="C13" s="37">
        <v>80000</v>
      </c>
      <c r="D13" s="37">
        <v>41200</v>
      </c>
      <c r="E13" s="37">
        <v>12400</v>
      </c>
      <c r="F13" s="37">
        <f>E13-C13</f>
      </c>
      <c r="G13" s="34">
        <f>IF(C13=0,0,E13/C13)</f>
      </c>
      <c r="H13" s="37">
        <f>C13-E13</f>
      </c>
      <c r="I13" s="27">
        <f>IF(E13&gt;C13,"Depassement",IF(D13/C13&gt;0.8,"A surveiller","Sous controle"))</f>
      </c>
      <c r="J13" s="27" t="s">
        <v>116</v>
      </c>
    </row>
    <row r="14" ht="23" customHeight="1" spans="1:10" x14ac:dyDescent="0.25">
      <c r="A14" s="27" t="s">
        <v>117</v>
      </c>
      <c r="B14" s="27" t="s">
        <v>118</v>
      </c>
      <c r="C14" s="37">
        <v>25000</v>
      </c>
      <c r="D14" s="37">
        <v>5000</v>
      </c>
      <c r="E14" s="37">
        <v>5000</v>
      </c>
      <c r="F14" s="37">
        <f>E14-C14</f>
      </c>
      <c r="G14" s="34">
        <f>IF(C14=0,0,E14/C14)</f>
      </c>
      <c r="H14" s="37">
        <f>C14-E14</f>
      </c>
      <c r="I14" s="27">
        <f>IF(E14&gt;C14,"Depassement",IF(D14/C14&gt;0.8,"A surveiller","Sous controle"))</f>
      </c>
      <c r="J14" s="27" t="s">
        <v>119</v>
      </c>
    </row>
    <row r="15" ht="23" customHeight="1" spans="1:10" s="38" customFormat="1" x14ac:dyDescent="0.25">
      <c r="A15" s="39" t="s">
        <v>120</v>
      </c>
      <c r="B15" s="39" t="s">
        <v>121</v>
      </c>
      <c r="C15" s="40">
        <f>SUM(C7:C14)</f>
      </c>
      <c r="D15" s="40">
        <f>SUM(D7:D14)</f>
      </c>
      <c r="E15" s="40">
        <f>SUM(E7:E14)</f>
      </c>
      <c r="F15" s="40">
        <f>SUM(F7:F14)</f>
      </c>
      <c r="G15" s="41">
        <f>IF(C15=0,0,E15/C15)</f>
      </c>
      <c r="H15" s="40">
        <f>SUM(H7:H14)</f>
      </c>
      <c r="I15" s="39" t="s">
        <v>122</v>
      </c>
      <c r="J15" s="39" t="s">
        <v>123</v>
      </c>
    </row>
  </sheetData>
  <autoFilter ref="A6:J15"/>
  <mergeCells count="2">
    <mergeCell ref="A1:J1"/>
    <mergeCell ref="A2:J2"/>
  </mergeCells>
  <conditionalFormatting sqref="I7:I15">
    <cfRule type="containsText" dxfId="15" priority="1">
      <formula>NOT(ISERROR(SEARCH("Termine",I7)))</formula>
    </cfRule>
    <cfRule type="containsText" dxfId="16" priority="2">
      <formula>NOT(ISERROR(SEARCH("En cours",I7)))</formula>
    </cfRule>
    <cfRule type="containsText" dxfId="17" priority="3">
      <formula>NOT(ISERROR(SEARCH("En alerte",I7)))</formula>
    </cfRule>
    <cfRule type="containsText" dxfId="18" priority="4">
      <formula>NOT(ISERROR(SEARCH("Ouvert",I7)))</formula>
    </cfRule>
    <cfRule type="containsText" dxfId="19" priority="5">
      <formula>NOT(ISERROR(SEARCH("A lancer",I7)))</formula>
    </cfRule>
    <cfRule type="containsText" dxfId="20" priority="6">
      <formula>NOT(ISERROR(SEARCH("Clos",I7)))</formula>
    </cfRule>
  </conditionalFormatting>
  <conditionalFormatting sqref="G7:G14">
    <cfRule type="dataBar" priority="6">
      <dataBar>
        <cfvo type="num" val="0"/>
        <cfvo type="num" val="1"/>
        <color rgb="FF24577A"/>
      </dataBar>
      <extLst>
        <ext xmlns:x14="http://schemas.microsoft.com/office/spreadsheetml/2009/9/main" uri="{B025F937-C7B1-47D3-B67F-A62EFF666E3E}">
          <x14:id>{ED5D91F2-1308-4D48-9026-21E3C395CB78}</x14:id>
        </ext>
      </extLst>
    </cfRule>
  </conditionalFormatting>
  <conditionalFormatting sqref="F7:F14">
    <cfRule type="iconSet" priority="7">
      <iconSet reverse="1">
        <cfvo type="num" val="-1"/>
        <cfvo type="num" val="0"/>
        <cfvo type="num" val="5000"/>
      </iconSet>
    </cfRule>
  </conditionalFormatting>
  <pageMargins left="0.3" right="0.3" top="0.5" bottom="0.5" header="0.2" footer="0.2"/>
  <pageSetup paperSize="9" orientation="landscape" fitToWidth="1" fitToHeight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5D91F2-1308-4D48-9026-21E3C395CB78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</x14:dataBar>
          </x14:cfRule>
          <xm:sqref>G7:G14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3" customWidth="1"/>
    <col min="3" max="3" width="18" customWidth="1"/>
    <col min="4" max="4" width="34" customWidth="1"/>
    <col min="5" max="5" width="12" customWidth="1"/>
    <col min="6" max="6" width="18" customWidth="1"/>
    <col min="7" max="7" width="13" customWidth="1"/>
    <col min="8" max="8" width="12" customWidth="1"/>
    <col min="9" max="9" width="36" customWidth="1"/>
    <col min="10" max="10" width="13" customWidth="1"/>
    <col min="11" max="11" width="14" customWidth="1"/>
  </cols>
  <sheetData>
    <row r="1" ht="26" customHeight="1" spans="1:11" x14ac:dyDescent="0.25">
      <c r="A1" s="1" t="s">
        <v>124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" customHeight="1" spans="1:11" x14ac:dyDescent="0.25">
      <c r="A2" s="2" t="s">
        <v>125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spans="1:8" x14ac:dyDescent="0.25">
      <c r="A4" s="3" t="s">
        <v>10</v>
      </c>
      <c r="B4" s="5">
        <v>46133</v>
      </c>
      <c r="C4" s="3" t="s">
        <v>14</v>
      </c>
      <c r="D4" s="21">
        <f>=COUNTIF(H7:H11,"Ouvert")+COUNTIF(H7:H11,"En cours")</f>
      </c>
      <c r="E4" s="3" t="s">
        <v>126</v>
      </c>
      <c r="F4" s="21">
        <f>=COUNTIF(H7:H11,"Clos")</f>
      </c>
      <c r="G4" s="3" t="s">
        <v>127</v>
      </c>
      <c r="H4" s="21">
        <f>=COUNTIF(E7:E11,"Critique")</f>
      </c>
    </row>
    <row r="6" ht="28" customHeight="1" spans="1:11" s="22" customFormat="1" x14ac:dyDescent="0.25">
      <c r="A6" s="23" t="s">
        <v>128</v>
      </c>
      <c r="B6" s="23" t="s">
        <v>129</v>
      </c>
      <c r="C6" s="23" t="s">
        <v>130</v>
      </c>
      <c r="D6" s="23" t="s">
        <v>131</v>
      </c>
      <c r="E6" s="23" t="s">
        <v>132</v>
      </c>
      <c r="F6" s="23" t="s">
        <v>6</v>
      </c>
      <c r="G6" s="23" t="s">
        <v>133</v>
      </c>
      <c r="H6" s="23" t="s">
        <v>43</v>
      </c>
      <c r="I6" s="23" t="s">
        <v>134</v>
      </c>
      <c r="J6" s="23" t="s">
        <v>135</v>
      </c>
      <c r="K6" s="23" t="s">
        <v>136</v>
      </c>
    </row>
    <row r="7" ht="23" customHeight="1" spans="1:11" x14ac:dyDescent="0.25">
      <c r="A7" s="27" t="s">
        <v>137</v>
      </c>
      <c r="B7" s="33">
        <v>46122</v>
      </c>
      <c r="C7" s="27" t="s">
        <v>138</v>
      </c>
      <c r="D7" s="27" t="s">
        <v>139</v>
      </c>
      <c r="E7" s="27" t="s">
        <v>140</v>
      </c>
      <c r="F7" s="27" t="s">
        <v>85</v>
      </c>
      <c r="G7" s="33">
        <v>46136</v>
      </c>
      <c r="H7" s="27" t="s">
        <v>141</v>
      </c>
      <c r="I7" s="27" t="s">
        <v>142</v>
      </c>
      <c r="J7" s="36"/>
      <c r="K7" s="35">
        <f>IF(J7="",TODAY()-B7+1,J7-B7+1)</f>
      </c>
    </row>
    <row r="8" ht="23" customHeight="1" spans="1:11" x14ac:dyDescent="0.25">
      <c r="A8" s="27" t="s">
        <v>143</v>
      </c>
      <c r="B8" s="33">
        <v>46124</v>
      </c>
      <c r="C8" s="27" t="s">
        <v>144</v>
      </c>
      <c r="D8" s="27" t="s">
        <v>145</v>
      </c>
      <c r="E8" s="27" t="s">
        <v>146</v>
      </c>
      <c r="F8" s="27" t="s">
        <v>7</v>
      </c>
      <c r="G8" s="33">
        <v>46135</v>
      </c>
      <c r="H8" s="27" t="s">
        <v>81</v>
      </c>
      <c r="I8" s="27" t="s">
        <v>147</v>
      </c>
      <c r="J8" s="36"/>
      <c r="K8" s="35">
        <f>IF(J8="",TODAY()-B8+1,J8-B8+1)</f>
      </c>
    </row>
    <row r="9" ht="23" customHeight="1" spans="1:11" x14ac:dyDescent="0.25">
      <c r="A9" s="27" t="s">
        <v>148</v>
      </c>
      <c r="B9" s="33">
        <v>46120</v>
      </c>
      <c r="C9" s="27" t="s">
        <v>149</v>
      </c>
      <c r="D9" s="27" t="s">
        <v>150</v>
      </c>
      <c r="E9" s="27" t="s">
        <v>151</v>
      </c>
      <c r="F9" s="27" t="s">
        <v>152</v>
      </c>
      <c r="G9" s="33">
        <v>46134</v>
      </c>
      <c r="H9" s="27" t="s">
        <v>141</v>
      </c>
      <c r="I9" s="27" t="s">
        <v>153</v>
      </c>
      <c r="J9" s="36"/>
      <c r="K9" s="35">
        <f>IF(J9="",TODAY()-B9+1,J9-B9+1)</f>
      </c>
    </row>
    <row r="10" ht="23" customHeight="1" spans="1:11" x14ac:dyDescent="0.25">
      <c r="A10" s="27" t="s">
        <v>154</v>
      </c>
      <c r="B10" s="33">
        <v>46115</v>
      </c>
      <c r="C10" s="27" t="s">
        <v>155</v>
      </c>
      <c r="D10" s="27" t="s">
        <v>156</v>
      </c>
      <c r="E10" s="27" t="s">
        <v>157</v>
      </c>
      <c r="F10" s="27" t="s">
        <v>77</v>
      </c>
      <c r="G10" s="33">
        <v>46121</v>
      </c>
      <c r="H10" s="27" t="s">
        <v>158</v>
      </c>
      <c r="I10" s="27" t="s">
        <v>159</v>
      </c>
      <c r="J10" s="33">
        <v>46120</v>
      </c>
      <c r="K10" s="35">
        <f>IF(J10="",TODAY()-B10+1,J10-B10+1)</f>
      </c>
    </row>
    <row r="11" ht="23" customHeight="1" spans="1:11" x14ac:dyDescent="0.25">
      <c r="A11" s="27" t="s">
        <v>160</v>
      </c>
      <c r="B11" s="33">
        <v>46126</v>
      </c>
      <c r="C11" s="27" t="s">
        <v>161</v>
      </c>
      <c r="D11" s="27" t="s">
        <v>162</v>
      </c>
      <c r="E11" s="27" t="s">
        <v>151</v>
      </c>
      <c r="F11" s="27" t="s">
        <v>163</v>
      </c>
      <c r="G11" s="33">
        <v>46130</v>
      </c>
      <c r="H11" s="27" t="s">
        <v>158</v>
      </c>
      <c r="I11" s="27" t="s">
        <v>164</v>
      </c>
      <c r="J11" s="33">
        <v>46129</v>
      </c>
      <c r="K11" s="35">
        <f>IF(J11="",TODAY()-B11+1,J11-B11+1)</f>
      </c>
    </row>
  </sheetData>
  <autoFilter ref="A6:K11"/>
  <mergeCells count="2">
    <mergeCell ref="A1:K1"/>
    <mergeCell ref="A2:K2"/>
  </mergeCells>
  <conditionalFormatting sqref="H7:H11">
    <cfRule type="containsText" dxfId="21" priority="1">
      <formula>NOT(ISERROR(SEARCH("Termine",H7)))</formula>
    </cfRule>
    <cfRule type="containsText" dxfId="22" priority="2">
      <formula>NOT(ISERROR(SEARCH("En cours",H7)))</formula>
    </cfRule>
    <cfRule type="containsText" dxfId="23" priority="3">
      <formula>NOT(ISERROR(SEARCH("En alerte",H7)))</formula>
    </cfRule>
    <cfRule type="containsText" dxfId="24" priority="4">
      <formula>NOT(ISERROR(SEARCH("Ouvert",H7)))</formula>
    </cfRule>
    <cfRule type="containsText" dxfId="25" priority="5">
      <formula>NOT(ISERROR(SEARCH("A lancer",H7)))</formula>
    </cfRule>
    <cfRule type="containsText" dxfId="26" priority="6">
      <formula>NOT(ISERROR(SEARCH("Clos",H7)))</formula>
    </cfRule>
  </conditionalFormatting>
  <conditionalFormatting sqref="E7:E11">
    <cfRule type="containsText" dxfId="27" priority="1">
      <formula>NOT(ISERROR(SEARCH("Critique",E7)))</formula>
    </cfRule>
    <cfRule type="containsText" dxfId="28" priority="2">
      <formula>NOT(ISERROR(SEARCH("Eleve",E7)))</formula>
    </cfRule>
    <cfRule type="containsText" dxfId="29" priority="3">
      <formula>NOT(ISERROR(SEARCH("Moyen",E7)))</formula>
    </cfRule>
    <cfRule type="containsText" dxfId="30" priority="4">
      <formula>NOT(ISERROR(SEARCH("Faible",E7)))</formula>
    </cfRule>
  </conditionalFormatting>
  <conditionalFormatting sqref="K7:K11">
    <cfRule type="dataBar" priority="6">
      <dataBar>
        <cfvo type="num" val="0"/>
        <cfvo type="num" val="20"/>
        <color rgb="FFC94737"/>
      </dataBar>
      <extLst>
        <ext xmlns:x14="http://schemas.microsoft.com/office/spreadsheetml/2009/9/main" uri="{B025F937-C7B1-47D3-B67F-A62EFF666E3E}">
          <x14:id>{60D6C7A4-0862-41E6-A7C5-C48A4A816BEA}</x14:id>
        </ext>
      </extLst>
    </cfRule>
  </conditionalFormatting>
  <dataValidations count="4">
    <dataValidation type="list" sqref="E10:E11">
      <formula1>"Faible,Moyen,Eleve,Critique"</formula1>
    </dataValidation>
    <dataValidation type="list" sqref="E7:E11">
      <formula1>"Faible,Moyen,Eleve,Critique"</formula1>
    </dataValidation>
    <dataValidation type="list" sqref="H10:H11">
      <formula1>"Ouvert,En cours,Clos"</formula1>
    </dataValidation>
    <dataValidation type="list" sqref="H7:H11">
      <formula1>"Ouvert,En cours,Clos"</formula1>
    </dataValidation>
  </dataValidations>
  <pageMargins left="0.3" right="0.3" top="0.5" bottom="0.5" header="0.2" footer="0.2"/>
  <pageSetup paperSize="9" orientation="landscape" fitToWidth="1" fitToHeight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D6C7A4-0862-41E6-A7C5-C48A4A816BEA}">
            <x14:dataBar minLength="0" maxLength="100" border="1" gradient="0">
              <x14:cfvo type="num">
                <xm:f>0</xm:f>
              </x14:cfvo>
              <x14:cfvo type="num">
                <xm:f>20</xm:f>
              </x14:cfvo>
            </x14:dataBar>
          </x14:cfRule>
          <xm:sqref>K7:K11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6" width="18" customWidth="1"/>
    <col min="7" max="10" width="20" customWidth="1"/>
  </cols>
  <sheetData>
    <row r="1" ht="26" customHeight="1" spans="1:10" x14ac:dyDescent="0.25">
      <c r="A1" s="1" t="s">
        <v>165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 x14ac:dyDescent="0.25">
      <c r="A2" s="2" t="s">
        <v>166</v>
      </c>
      <c r="B2" s="2"/>
      <c r="C2" s="2"/>
      <c r="D2" s="2"/>
      <c r="E2" s="2"/>
      <c r="F2" s="2"/>
      <c r="G2" s="2"/>
      <c r="H2" s="2"/>
      <c r="I2" s="2"/>
      <c r="J2" s="2"/>
    </row>
    <row r="4" spans="1:10" x14ac:dyDescent="0.25">
      <c r="A4" s="18" t="s">
        <v>167</v>
      </c>
      <c r="B4" s="18"/>
      <c r="C4" s="18"/>
      <c r="D4" s="18"/>
      <c r="E4" s="18"/>
      <c r="F4" s="18"/>
      <c r="G4" s="42" t="s">
        <v>168</v>
      </c>
      <c r="H4" s="42"/>
      <c r="I4" s="42"/>
      <c r="J4" s="42"/>
    </row>
    <row r="5" spans="1:10" x14ac:dyDescent="0.25">
      <c r="A5" s="3" t="s">
        <v>2</v>
      </c>
      <c r="B5" s="4" t="s">
        <v>3</v>
      </c>
      <c r="C5" s="4"/>
      <c r="D5" s="4"/>
      <c r="E5" s="4"/>
      <c r="F5" s="4"/>
      <c r="G5" s="43" t="s">
        <v>169</v>
      </c>
      <c r="H5" s="43"/>
      <c r="I5" s="43"/>
      <c r="J5" s="43"/>
    </row>
    <row r="6" spans="1:10" x14ac:dyDescent="0.25">
      <c r="A6" s="3" t="s">
        <v>4</v>
      </c>
      <c r="B6" s="4" t="s">
        <v>5</v>
      </c>
      <c r="C6" s="4"/>
      <c r="D6" s="4"/>
      <c r="E6" s="4"/>
      <c r="F6" s="4"/>
      <c r="G6" s="43"/>
      <c r="H6" s="43"/>
      <c r="I6" s="43"/>
      <c r="J6" s="43"/>
    </row>
    <row r="7" spans="1:10" x14ac:dyDescent="0.25">
      <c r="A7" s="3" t="s">
        <v>12</v>
      </c>
      <c r="B7" s="44">
        <f>='Tableau de bord'!A7</f>
      </c>
      <c r="C7" s="44"/>
      <c r="D7" s="44"/>
      <c r="E7" s="44"/>
      <c r="F7" s="44"/>
      <c r="G7" s="45" t="s">
        <v>170</v>
      </c>
      <c r="H7" s="45"/>
      <c r="I7" s="45"/>
      <c r="J7" s="45"/>
    </row>
    <row r="8" spans="1:10" x14ac:dyDescent="0.25">
      <c r="A8" s="3" t="s">
        <v>13</v>
      </c>
      <c r="B8" s="44">
        <f>='Tableau de bord'!D7</f>
      </c>
      <c r="C8" s="44"/>
      <c r="D8" s="44"/>
      <c r="E8" s="44"/>
      <c r="F8" s="44"/>
      <c r="G8" s="45"/>
      <c r="H8" s="45"/>
      <c r="I8" s="45"/>
      <c r="J8" s="45"/>
    </row>
    <row r="9" spans="1:10" x14ac:dyDescent="0.25">
      <c r="A9" s="3" t="s">
        <v>14</v>
      </c>
      <c r="B9" s="21">
        <f>='Tableau de bord'!G7</f>
      </c>
      <c r="C9" s="21"/>
      <c r="D9" s="21"/>
      <c r="E9" s="21"/>
      <c r="F9" s="21"/>
      <c r="G9" s="43" t="s">
        <v>171</v>
      </c>
      <c r="H9" s="43"/>
      <c r="I9" s="43"/>
      <c r="J9" s="43"/>
    </row>
    <row r="10" spans="1:10" x14ac:dyDescent="0.25">
      <c r="A10" s="3" t="s">
        <v>19</v>
      </c>
      <c r="B10" s="46">
        <f>='Tableau de bord'!J12</f>
      </c>
      <c r="C10" s="46"/>
      <c r="D10" s="46"/>
      <c r="E10" s="46"/>
      <c r="F10" s="46"/>
      <c r="G10" s="43"/>
      <c r="H10" s="43"/>
      <c r="I10" s="43"/>
      <c r="J10" s="43"/>
    </row>
    <row r="11" spans="7:10" x14ac:dyDescent="0.25">
      <c r="G11" s="45" t="s">
        <v>172</v>
      </c>
      <c r="H11" s="45"/>
      <c r="I11" s="45"/>
      <c r="J11" s="45"/>
    </row>
    <row r="12" spans="7:10" x14ac:dyDescent="0.25">
      <c r="G12" s="45"/>
      <c r="H12" s="45"/>
      <c r="I12" s="45"/>
      <c r="J12" s="45"/>
    </row>
    <row r="13" spans="1:10" x14ac:dyDescent="0.25">
      <c r="A13" s="18" t="s">
        <v>173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20" t="s">
        <v>174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9" spans="1:10" x14ac:dyDescent="0.25">
      <c r="A19" s="42" t="s">
        <v>175</v>
      </c>
      <c r="B19" s="42"/>
      <c r="C19" s="42"/>
      <c r="D19" s="42"/>
      <c r="E19" s="42"/>
      <c r="F19" s="42" t="s">
        <v>176</v>
      </c>
      <c r="G19" s="42"/>
      <c r="H19" s="42"/>
      <c r="I19" s="42"/>
      <c r="J19" s="42"/>
    </row>
    <row r="20" spans="1:10" x14ac:dyDescent="0.25">
      <c r="A20" s="3" t="s">
        <v>16</v>
      </c>
      <c r="B20" s="21">
        <f>=COUNTIF('Lots - phases'!H7:H14,"Termine")</f>
      </c>
      <c r="C20" s="21"/>
      <c r="D20" s="21"/>
      <c r="E20" s="21"/>
      <c r="F20" s="3" t="s">
        <v>24</v>
      </c>
      <c r="G20" s="6">
        <f>=SUM('Budget chantier'!C7:C14)</f>
      </c>
      <c r="H20" s="6"/>
      <c r="I20" s="6"/>
      <c r="J20" s="6"/>
    </row>
    <row r="21" spans="1:10" x14ac:dyDescent="0.25">
      <c r="A21" s="3" t="s">
        <v>177</v>
      </c>
      <c r="B21" s="21">
        <f>=COUNTIF('Lots - phases'!H7:H14,"En cours")</f>
      </c>
      <c r="C21" s="21"/>
      <c r="D21" s="21"/>
      <c r="E21" s="21"/>
      <c r="F21" s="3" t="s">
        <v>30</v>
      </c>
      <c r="G21" s="6">
        <f>=SUM('Budget chantier'!E7:E14)</f>
      </c>
      <c r="H21" s="6"/>
      <c r="I21" s="6"/>
      <c r="J21" s="6"/>
    </row>
    <row r="22" spans="1:10" x14ac:dyDescent="0.25">
      <c r="A22" s="3" t="s">
        <v>17</v>
      </c>
      <c r="B22" s="21">
        <f>=COUNTIF('Lots - phases'!H7:H14,"En alerte")</f>
      </c>
      <c r="C22" s="21"/>
      <c r="D22" s="21"/>
      <c r="E22" s="21"/>
      <c r="F22" s="3" t="s">
        <v>104</v>
      </c>
      <c r="G22" s="6">
        <f>=SUM('Budget chantier'!H7:H14)</f>
      </c>
      <c r="H22" s="6"/>
      <c r="I22" s="6"/>
      <c r="J22" s="6"/>
    </row>
    <row r="23" spans="1:10" x14ac:dyDescent="0.25">
      <c r="A23" s="3" t="s">
        <v>178</v>
      </c>
      <c r="B23" s="21">
        <f>=COUNTIF('Lots - phases'!H7:H14,"A lancer")</f>
      </c>
      <c r="C23" s="21"/>
      <c r="D23" s="21"/>
      <c r="E23" s="21"/>
      <c r="F23" s="3" t="s">
        <v>179</v>
      </c>
      <c r="G23" s="21">
        <f>=COUNTIF('Budget chantier'!I7:I14,"Depassement")</f>
      </c>
      <c r="H23" s="21"/>
      <c r="I23" s="21"/>
      <c r="J23" s="21"/>
    </row>
    <row r="26" spans="1:10" x14ac:dyDescent="0.25">
      <c r="A26" s="47" t="s">
        <v>180</v>
      </c>
      <c r="B26" s="47"/>
      <c r="C26" s="47"/>
      <c r="D26" s="47"/>
      <c r="E26" s="47"/>
      <c r="F26" s="47"/>
      <c r="G26" s="47"/>
      <c r="H26" s="47"/>
      <c r="I26" s="47"/>
      <c r="J26" s="47"/>
    </row>
    <row r="27" spans="1:10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0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</row>
  </sheetData>
  <mergeCells count="27">
    <mergeCell ref="A1:J1"/>
    <mergeCell ref="A2:J2"/>
    <mergeCell ref="A4:F4"/>
    <mergeCell ref="G4:J4"/>
    <mergeCell ref="B5:F5"/>
    <mergeCell ref="G5:J6"/>
    <mergeCell ref="B6:F6"/>
    <mergeCell ref="B7:F7"/>
    <mergeCell ref="G7:J8"/>
    <mergeCell ref="B8:F8"/>
    <mergeCell ref="B9:F9"/>
    <mergeCell ref="G9:J10"/>
    <mergeCell ref="B10:F10"/>
    <mergeCell ref="G11:J12"/>
    <mergeCell ref="A13:J13"/>
    <mergeCell ref="A14:J17"/>
    <mergeCell ref="A19:E19"/>
    <mergeCell ref="F19:J19"/>
    <mergeCell ref="B20:E20"/>
    <mergeCell ref="G20:J20"/>
    <mergeCell ref="B21:E21"/>
    <mergeCell ref="G21:J21"/>
    <mergeCell ref="B22:E22"/>
    <mergeCell ref="G22:J22"/>
    <mergeCell ref="B23:E23"/>
    <mergeCell ref="G23:J23"/>
    <mergeCell ref="A26:J28"/>
  </mergeCells>
  <pageMargins left="0.3" right="0.3" top="0.5" bottom="0.5" header="0.2" footer="0.2"/>
  <pageSetup paperSize="9" orientation="landscape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Tableau de bord</vt:lpstr>
      <vt:lpstr>Planning Gantt</vt:lpstr>
      <vt:lpstr>Lots - phases</vt:lpstr>
      <vt:lpstr>Budget chantier</vt:lpstr>
      <vt:lpstr>Journal incidents</vt:lpstr>
      <vt:lpstr>Synthese finale</vt:lpstr>
    </vt:vector>
  </TitlesOfParts>
  <Company>NanoCorp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SiteKit</dc:creator>
  <dc:title>SiteKit - Modele Excel de suivi de projet chantier</dc:title>
  <dc:subject>Modele Excel de suivi de chantier</dc:subject>
  <dc:description>Classeur de demonstration pour suivi de projet chantier, budget, incidents et planning Gantt.</dc:description>
  <cp:keywords/>
  <cp:category/>
  <cp:lastModifiedBy>Unknown</cp:lastModifiedBy>
  <cp:lastPrinted>2026-04-21T10:50:06Z</cp:lastPrinted>
  <dcterms:created xsi:type="dcterms:W3CDTF">2026-04-21T10:50:06Z</dcterms:created>
  <dcterms:modified xsi:type="dcterms:W3CDTF">2026-04-21T10:50:06Z</dcterms:modified>
</cp:coreProperties>
</file>